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codeName="ThisWorkbook" defaultThemeVersion="124226"/>
  <bookViews>
    <workbookView xWindow="1080" yWindow="510" windowWidth="10830" windowHeight="6375" tabRatio="933"/>
  </bookViews>
  <sheets>
    <sheet name="A. Organization Chart" sheetId="25" r:id="rId1"/>
    <sheet name="B. Summary of Requirements " sheetId="45" r:id="rId2"/>
    <sheet name="C. Increases Offsets" sheetId="21" r:id="rId3"/>
    <sheet name="D. Strategic Goals &amp; Objectives" sheetId="22" r:id="rId4"/>
    <sheet name="E. ATB Justification" sheetId="29" r:id="rId5"/>
    <sheet name="F. 2009 Crosswalk" sheetId="2" r:id="rId6"/>
    <sheet name="G. 2010 Crosswalk" sheetId="47" r:id="rId7"/>
    <sheet name="H. Reimbursable Resources" sheetId="16" r:id="rId8"/>
    <sheet name="I. Permanent Positions" sheetId="10" r:id="rId9"/>
    <sheet name="J. Financial Analysis" sheetId="36" r:id="rId10"/>
    <sheet name="K. Summary by Grade" sheetId="6" r:id="rId11"/>
    <sheet name="L. Summary by Object Class" sheetId="14" r:id="rId12"/>
    <sheet name="M. Studies" sheetId="48" r:id="rId13"/>
  </sheets>
  <externalReferences>
    <externalReference r:id="rId14"/>
    <externalReference r:id="rId15"/>
    <externalReference r:id="rId16"/>
    <externalReference r:id="rId17"/>
    <externalReference r:id="rId18"/>
  </externalReferences>
  <definedNames>
    <definedName name="_1ATTORNEY_SUPP" localSheetId="1">#REF!</definedName>
    <definedName name="_2ATTORNEY_SUPP">#REF!</definedName>
    <definedName name="DL" localSheetId="1">'B. Summary of Requirements '!$A$3:$AB$78</definedName>
    <definedName name="DL">#REF!</definedName>
    <definedName name="EXECSUPP" localSheetId="1">'B. Summary of Requirements '!#REF!</definedName>
    <definedName name="EXECSUPP" localSheetId="9">'[3]Sum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_3GA_ROLLUP" localSheetId="1">'B. Summary of Requirements '!#REF!</definedName>
    <definedName name="_4GA_ROLLUP" localSheetId="7">[2]SumReq!#REF!</definedName>
    <definedName name="_5GA_ROLLUP" localSheetId="9">'[3]Sum of Req'!#REF!</definedName>
    <definedName name="_6GA_ROLLUP">#REF!</definedName>
    <definedName name="hlhl0" localSheetId="4">'E. ATB Justification'!#REF!</definedName>
    <definedName name="INTEL" localSheetId="1">'B. Summary of Requirements '!#REF!</definedName>
    <definedName name="INTEL" localSheetId="9">'[3]Sum of Req'!#REF!</definedName>
    <definedName name="INTEL">#REF!</definedName>
    <definedName name="JMD" localSheetId="1">'B. Summary of Requirements '!#REF!</definedName>
    <definedName name="JMD" localSheetId="9">'[3]Sum of Req'!#REF!</definedName>
    <definedName name="JMD">#REF!</definedName>
    <definedName name="OLE_LINK7" localSheetId="4">'E. ATB Justification'!#REF!</definedName>
    <definedName name="PART">#REF!</definedName>
    <definedName name="_7POS_BY_CAT" localSheetId="1">#REF!</definedName>
    <definedName name="_8POS_BY_CAT" localSheetId="9">'[3]Summ Atty Agt'!#REF!</definedName>
    <definedName name="_9POS_BY_CAT">#REF!</definedName>
    <definedName name="_xlnm.Print_Area" localSheetId="0">'A. Organization Chart'!$A$1:$N$29</definedName>
    <definedName name="_xlnm.Print_Area" localSheetId="1">'B. Summary of Requirements '!$A$1:$AC$87</definedName>
    <definedName name="_xlnm.Print_Area" localSheetId="2">'C. Increases Offsets'!$A$1:$P$18</definedName>
    <definedName name="_xlnm.Print_Area" localSheetId="3">'D. Strategic Goals &amp; Objectives'!$A$1:$N$41</definedName>
    <definedName name="_xlnm.Print_Area" localSheetId="4">'E. ATB Justification'!$A$1:$N$86</definedName>
    <definedName name="_xlnm.Print_Area" localSheetId="5">'F. 2009 Crosswalk'!$A$1:$R$32</definedName>
    <definedName name="_xlnm.Print_Area" localSheetId="6">'G. 2010 Crosswalk'!$A$1:$N$31</definedName>
    <definedName name="_xlnm.Print_Area" localSheetId="7">'H. Reimbursable Resources'!$A$1:$P$16</definedName>
    <definedName name="_xlnm.Print_Area" localSheetId="8">'I. Permanent Positions'!$A$1:$N$20</definedName>
    <definedName name="_xlnm.Print_Area" localSheetId="9">'J. Financial Analysis'!$A$1:$J$44</definedName>
    <definedName name="_xlnm.Print_Area" localSheetId="10">'K. Summary by Grade'!$B$1:$K$32</definedName>
    <definedName name="_xlnm.Print_Area" localSheetId="11">'L. Summary by Object Class'!$A$1:$P$46</definedName>
    <definedName name="_xlnm.Print_Area" localSheetId="12">'M. Studies'!$A$1:$K$23</definedName>
    <definedName name="_xlnm.Print_Area">#REF!</definedName>
    <definedName name="REIMPRO" localSheetId="7">'H. Reimbursable Resources'!$A$1:$O$16</definedName>
    <definedName name="REIMPRO">#REF!</definedName>
    <definedName name="REIMSOR" localSheetId="7">'H. Reimbursable Resources'!#REF!</definedName>
    <definedName name="REIMSOR">#REF!</definedName>
  </definedNames>
  <calcPr calcId="125725"/>
</workbook>
</file>

<file path=xl/calcChain.xml><?xml version="1.0" encoding="utf-8"?>
<calcChain xmlns="http://schemas.openxmlformats.org/spreadsheetml/2006/main">
  <c r="M17" i="47"/>
  <c r="L13"/>
  <c r="L14"/>
  <c r="L12"/>
  <c r="N13"/>
  <c r="N14"/>
  <c r="N12"/>
  <c r="M14"/>
  <c r="M13"/>
  <c r="M12"/>
  <c r="O12" i="2"/>
  <c r="P13"/>
  <c r="P14"/>
  <c r="P16"/>
  <c r="Q14"/>
  <c r="Q12"/>
  <c r="Q13"/>
  <c r="P12"/>
  <c r="O14"/>
  <c r="O13"/>
  <c r="E19" i="10"/>
  <c r="C19"/>
  <c r="L22" i="22"/>
  <c r="L15"/>
  <c r="G19" i="6"/>
  <c r="G17"/>
  <c r="I43" i="14"/>
  <c r="G43"/>
  <c r="I14"/>
  <c r="I13"/>
  <c r="I12"/>
  <c r="I16" s="1"/>
  <c r="G14"/>
  <c r="G13"/>
  <c r="E14"/>
  <c r="E12"/>
  <c r="F31" i="6"/>
  <c r="H31"/>
  <c r="F30"/>
  <c r="H30"/>
  <c r="M12" i="10"/>
  <c r="M14"/>
  <c r="M18"/>
  <c r="M17"/>
  <c r="M15"/>
  <c r="M13"/>
  <c r="H15"/>
  <c r="G15"/>
  <c r="H14"/>
  <c r="H13"/>
  <c r="H12"/>
  <c r="H16"/>
  <c r="G12"/>
  <c r="G16"/>
  <c r="E15"/>
  <c r="E14"/>
  <c r="E13"/>
  <c r="E16"/>
  <c r="C16"/>
  <c r="C17"/>
  <c r="C20" s="1"/>
  <c r="K10" i="16"/>
  <c r="J10"/>
  <c r="D21" i="47"/>
  <c r="M21" s="1"/>
  <c r="D20"/>
  <c r="M20" s="1"/>
  <c r="M20" i="2"/>
  <c r="D20"/>
  <c r="P20" s="1"/>
  <c r="D19"/>
  <c r="P19" s="1"/>
  <c r="U86" i="45"/>
  <c r="U85"/>
  <c r="O86"/>
  <c r="O85"/>
  <c r="L86"/>
  <c r="L85"/>
  <c r="I86"/>
  <c r="I85"/>
  <c r="AB15"/>
  <c r="L15" i="14"/>
  <c r="L13"/>
  <c r="L11"/>
  <c r="L36"/>
  <c r="L35"/>
  <c r="L34"/>
  <c r="L33"/>
  <c r="L31"/>
  <c r="L30"/>
  <c r="L29"/>
  <c r="L28"/>
  <c r="L27"/>
  <c r="L26"/>
  <c r="L25"/>
  <c r="L24"/>
  <c r="L23"/>
  <c r="L22"/>
  <c r="L21"/>
  <c r="L20"/>
  <c r="L19"/>
  <c r="J32"/>
  <c r="L32" s="1"/>
  <c r="H32"/>
  <c r="J14"/>
  <c r="L14"/>
  <c r="O29"/>
  <c r="O23"/>
  <c r="O36"/>
  <c r="O35"/>
  <c r="O34"/>
  <c r="O19"/>
  <c r="N19"/>
  <c r="F14"/>
  <c r="G28" i="6"/>
  <c r="G29"/>
  <c r="I28"/>
  <c r="J29"/>
  <c r="H29"/>
  <c r="F29"/>
  <c r="E29"/>
  <c r="D29"/>
  <c r="C29"/>
  <c r="J43" i="36"/>
  <c r="I43"/>
  <c r="J42"/>
  <c r="I42"/>
  <c r="J41"/>
  <c r="I41"/>
  <c r="J40"/>
  <c r="I40"/>
  <c r="J39"/>
  <c r="I39"/>
  <c r="J38"/>
  <c r="I38"/>
  <c r="J37"/>
  <c r="I37"/>
  <c r="J36"/>
  <c r="I36"/>
  <c r="J35"/>
  <c r="I35"/>
  <c r="J34"/>
  <c r="I34"/>
  <c r="J33"/>
  <c r="I33"/>
  <c r="J32"/>
  <c r="I32"/>
  <c r="J31"/>
  <c r="I31"/>
  <c r="J30"/>
  <c r="I30"/>
  <c r="J25"/>
  <c r="J21"/>
  <c r="I21"/>
  <c r="J20"/>
  <c r="I20"/>
  <c r="J19"/>
  <c r="I19"/>
  <c r="J18"/>
  <c r="I18"/>
  <c r="J17"/>
  <c r="I17"/>
  <c r="J16"/>
  <c r="I16"/>
  <c r="J15"/>
  <c r="I15"/>
  <c r="J14"/>
  <c r="I14"/>
  <c r="J13"/>
  <c r="I13"/>
  <c r="J12"/>
  <c r="I12"/>
  <c r="J11"/>
  <c r="I11"/>
  <c r="E23"/>
  <c r="E28" s="1"/>
  <c r="H23"/>
  <c r="H24" s="1"/>
  <c r="H28" s="1"/>
  <c r="H44" s="1"/>
  <c r="G23"/>
  <c r="G24" s="1"/>
  <c r="G28" s="1"/>
  <c r="G44" s="1"/>
  <c r="F23"/>
  <c r="F24" s="1"/>
  <c r="L10" i="16"/>
  <c r="U81" i="45"/>
  <c r="K14" i="10"/>
  <c r="L14" s="1"/>
  <c r="I13" i="16"/>
  <c r="I15"/>
  <c r="N12"/>
  <c r="O12"/>
  <c r="M12"/>
  <c r="M10"/>
  <c r="G19" i="29"/>
  <c r="G21"/>
  <c r="G37" s="1"/>
  <c r="B22" i="22"/>
  <c r="B29" s="1"/>
  <c r="B15"/>
  <c r="B18"/>
  <c r="B41" s="1"/>
  <c r="B39"/>
  <c r="C22"/>
  <c r="C15"/>
  <c r="O17" i="21"/>
  <c r="O12"/>
  <c r="O11"/>
  <c r="R81" i="45"/>
  <c r="AA81"/>
  <c r="R85"/>
  <c r="AA85"/>
  <c r="J78"/>
  <c r="J77"/>
  <c r="J76"/>
  <c r="J79"/>
  <c r="AB54"/>
  <c r="AA54"/>
  <c r="Z54"/>
  <c r="Z57"/>
  <c r="Z58" s="1"/>
  <c r="AB27"/>
  <c r="AB26"/>
  <c r="AB42"/>
  <c r="AB47"/>
  <c r="AB48"/>
  <c r="AB49" s="1"/>
  <c r="AB50" s="1"/>
  <c r="AB17"/>
  <c r="AB57"/>
  <c r="AB58" s="1"/>
  <c r="Z47"/>
  <c r="AA47"/>
  <c r="A65"/>
  <c r="B8" i="22"/>
  <c r="J20" i="10"/>
  <c r="A4" i="48"/>
  <c r="A7"/>
  <c r="C13" i="21"/>
  <c r="D13"/>
  <c r="E13"/>
  <c r="F13"/>
  <c r="G13"/>
  <c r="H13"/>
  <c r="I13"/>
  <c r="J13"/>
  <c r="K13"/>
  <c r="L13"/>
  <c r="M13"/>
  <c r="N13"/>
  <c r="O13"/>
  <c r="L10" i="14"/>
  <c r="M20" i="10"/>
  <c r="H18" i="22"/>
  <c r="E15" i="2"/>
  <c r="G15"/>
  <c r="G17" s="1"/>
  <c r="G21" s="1"/>
  <c r="L79" i="45"/>
  <c r="L82"/>
  <c r="L87" s="1"/>
  <c r="I18" i="21"/>
  <c r="F18"/>
  <c r="S76" i="45"/>
  <c r="AB76" s="1"/>
  <c r="S77"/>
  <c r="AB77" s="1"/>
  <c r="S78"/>
  <c r="AB78" s="1"/>
  <c r="M16" i="47"/>
  <c r="M18" s="1"/>
  <c r="J16"/>
  <c r="J18"/>
  <c r="J22" s="1"/>
  <c r="G16"/>
  <c r="G18" s="1"/>
  <c r="G22" s="1"/>
  <c r="D16"/>
  <c r="D18"/>
  <c r="D22" s="1"/>
  <c r="K16"/>
  <c r="I16"/>
  <c r="H16"/>
  <c r="F16"/>
  <c r="E16"/>
  <c r="C16"/>
  <c r="A5"/>
  <c r="A4"/>
  <c r="E16" i="14"/>
  <c r="J12"/>
  <c r="J38"/>
  <c r="F12"/>
  <c r="F16" s="1"/>
  <c r="F37" s="1"/>
  <c r="F41" s="1"/>
  <c r="C23" i="36"/>
  <c r="C24" s="1"/>
  <c r="I24" s="1"/>
  <c r="D23"/>
  <c r="D24"/>
  <c r="K17" i="10"/>
  <c r="K18"/>
  <c r="K19"/>
  <c r="K13"/>
  <c r="L13" s="1"/>
  <c r="K15"/>
  <c r="F16"/>
  <c r="D15" i="16"/>
  <c r="E18" i="21"/>
  <c r="E21" i="29"/>
  <c r="E37" s="1"/>
  <c r="C18" i="21"/>
  <c r="I79" i="45"/>
  <c r="I82"/>
  <c r="I87" s="1"/>
  <c r="H79"/>
  <c r="Z42"/>
  <c r="Z48"/>
  <c r="Z49" s="1"/>
  <c r="Z50" s="1"/>
  <c r="Z59" s="1"/>
  <c r="Z60" s="1"/>
  <c r="Z19"/>
  <c r="AB16"/>
  <c r="Z16"/>
  <c r="AA42"/>
  <c r="L8" i="22"/>
  <c r="F8"/>
  <c r="H12" i="14"/>
  <c r="L12" s="1"/>
  <c r="L16" s="1"/>
  <c r="L37" s="1"/>
  <c r="H16"/>
  <c r="H38"/>
  <c r="G12"/>
  <c r="G16" s="1"/>
  <c r="K43"/>
  <c r="L43"/>
  <c r="A5"/>
  <c r="A4"/>
  <c r="L44"/>
  <c r="L45"/>
  <c r="K10"/>
  <c r="K11"/>
  <c r="K13"/>
  <c r="K14"/>
  <c r="K15"/>
  <c r="M38" i="22"/>
  <c r="M37"/>
  <c r="M36"/>
  <c r="M35"/>
  <c r="M34"/>
  <c r="M33"/>
  <c r="M32"/>
  <c r="M39"/>
  <c r="L38"/>
  <c r="L37"/>
  <c r="L36"/>
  <c r="L35"/>
  <c r="L34"/>
  <c r="L33"/>
  <c r="L32"/>
  <c r="L24"/>
  <c r="M28"/>
  <c r="M27"/>
  <c r="M26"/>
  <c r="M25"/>
  <c r="M24"/>
  <c r="M23"/>
  <c r="M21"/>
  <c r="M29"/>
  <c r="L28"/>
  <c r="L27"/>
  <c r="L26"/>
  <c r="L25"/>
  <c r="L23"/>
  <c r="L21"/>
  <c r="L29" s="1"/>
  <c r="M17"/>
  <c r="M16"/>
  <c r="M14"/>
  <c r="M18" s="1"/>
  <c r="M41" s="1"/>
  <c r="L17"/>
  <c r="L16"/>
  <c r="L14"/>
  <c r="N18" i="21"/>
  <c r="M18"/>
  <c r="K18"/>
  <c r="L18"/>
  <c r="R78" i="45"/>
  <c r="AA78" s="1"/>
  <c r="R77"/>
  <c r="AA77" s="1"/>
  <c r="R76"/>
  <c r="K29" i="22"/>
  <c r="J29"/>
  <c r="I29"/>
  <c r="H29"/>
  <c r="G29"/>
  <c r="F29"/>
  <c r="E29"/>
  <c r="D29"/>
  <c r="C29"/>
  <c r="L39"/>
  <c r="K39"/>
  <c r="J39"/>
  <c r="I39"/>
  <c r="H39"/>
  <c r="G39"/>
  <c r="F39"/>
  <c r="E39"/>
  <c r="D39"/>
  <c r="C39"/>
  <c r="L18"/>
  <c r="L41" s="1"/>
  <c r="K18"/>
  <c r="J18"/>
  <c r="J41"/>
  <c r="I18"/>
  <c r="I41"/>
  <c r="G18"/>
  <c r="G41"/>
  <c r="F18"/>
  <c r="F41"/>
  <c r="E18"/>
  <c r="E41"/>
  <c r="D18"/>
  <c r="D41"/>
  <c r="C18"/>
  <c r="C41"/>
  <c r="L17" i="10"/>
  <c r="L19"/>
  <c r="H20"/>
  <c r="L15"/>
  <c r="K15" i="16"/>
  <c r="H15"/>
  <c r="E15"/>
  <c r="X79" i="45"/>
  <c r="X82" s="1"/>
  <c r="X87" s="1"/>
  <c r="U79"/>
  <c r="U82"/>
  <c r="U87" s="1"/>
  <c r="J18" i="21"/>
  <c r="H18"/>
  <c r="G18"/>
  <c r="D18"/>
  <c r="I13" i="6"/>
  <c r="I14"/>
  <c r="I15"/>
  <c r="I16"/>
  <c r="I17"/>
  <c r="I18"/>
  <c r="I19"/>
  <c r="I20"/>
  <c r="I21"/>
  <c r="I22"/>
  <c r="I12"/>
  <c r="I23"/>
  <c r="I24"/>
  <c r="I25"/>
  <c r="I26"/>
  <c r="I27"/>
  <c r="I29"/>
  <c r="J16" i="10"/>
  <c r="I16"/>
  <c r="D16"/>
  <c r="AA57" i="45"/>
  <c r="Q76"/>
  <c r="Z76"/>
  <c r="Q77"/>
  <c r="Z77"/>
  <c r="Q78"/>
  <c r="Z78"/>
  <c r="D8" i="22"/>
  <c r="B6" i="6"/>
  <c r="B5"/>
  <c r="B5" i="36"/>
  <c r="B4"/>
  <c r="A6" i="10"/>
  <c r="A5"/>
  <c r="A4" i="29"/>
  <c r="A5" i="16"/>
  <c r="A4"/>
  <c r="A5" i="2"/>
  <c r="A4"/>
  <c r="AB19" i="45"/>
  <c r="AA19"/>
  <c r="AA16"/>
  <c r="A4" i="22"/>
  <c r="A5" i="21"/>
  <c r="Y79" i="45"/>
  <c r="V79"/>
  <c r="M16" i="14"/>
  <c r="M37" s="1"/>
  <c r="N16"/>
  <c r="L18"/>
  <c r="N18"/>
  <c r="N37" s="1"/>
  <c r="O18"/>
  <c r="O20"/>
  <c r="O21"/>
  <c r="M22"/>
  <c r="O22"/>
  <c r="O24"/>
  <c r="O25"/>
  <c r="O26"/>
  <c r="O27"/>
  <c r="O28"/>
  <c r="O30"/>
  <c r="O31"/>
  <c r="O32"/>
  <c r="O33"/>
  <c r="A6" i="6"/>
  <c r="D20" i="10"/>
  <c r="F20"/>
  <c r="G20"/>
  <c r="I20"/>
  <c r="N10" i="16"/>
  <c r="O10"/>
  <c r="O15"/>
  <c r="M11"/>
  <c r="N11"/>
  <c r="N15" s="1"/>
  <c r="O11"/>
  <c r="M13"/>
  <c r="M15" s="1"/>
  <c r="N13"/>
  <c r="O13"/>
  <c r="F15"/>
  <c r="G15"/>
  <c r="J15"/>
  <c r="L15"/>
  <c r="P15" i="2"/>
  <c r="P17" s="1"/>
  <c r="Q15"/>
  <c r="C15"/>
  <c r="D15"/>
  <c r="D17" s="1"/>
  <c r="D21" s="1"/>
  <c r="F15"/>
  <c r="H15"/>
  <c r="I15"/>
  <c r="J15"/>
  <c r="J17" s="1"/>
  <c r="J21" s="1"/>
  <c r="K15"/>
  <c r="L15"/>
  <c r="M15"/>
  <c r="N15"/>
  <c r="M17"/>
  <c r="M21"/>
  <c r="I21" i="29"/>
  <c r="I37" s="1"/>
  <c r="K21"/>
  <c r="K37" s="1"/>
  <c r="K79" i="45"/>
  <c r="M79"/>
  <c r="N79"/>
  <c r="O79"/>
  <c r="O82"/>
  <c r="O87" s="1"/>
  <c r="P79"/>
  <c r="S79"/>
  <c r="T79"/>
  <c r="W79"/>
  <c r="N16" i="47"/>
  <c r="L16"/>
  <c r="O15" i="2"/>
  <c r="AA58" i="45"/>
  <c r="AA48"/>
  <c r="AA49" s="1"/>
  <c r="AA50" s="1"/>
  <c r="AA59" s="1"/>
  <c r="AA60" s="1"/>
  <c r="O18" i="21"/>
  <c r="K41" i="22"/>
  <c r="K20" i="10"/>
  <c r="K12" i="14"/>
  <c r="K16"/>
  <c r="J16"/>
  <c r="J37"/>
  <c r="J41" s="1"/>
  <c r="L41" s="1"/>
  <c r="I23" i="36"/>
  <c r="J23"/>
  <c r="C44"/>
  <c r="M16" i="10"/>
  <c r="C18"/>
  <c r="E18" s="1"/>
  <c r="H41" i="22"/>
  <c r="K12" i="10"/>
  <c r="R86" i="45"/>
  <c r="AA86" s="1"/>
  <c r="R79"/>
  <c r="R82" s="1"/>
  <c r="R87" s="1"/>
  <c r="AA76"/>
  <c r="L12" i="10"/>
  <c r="L16" s="1"/>
  <c r="K16"/>
  <c r="O16" i="14"/>
  <c r="H37"/>
  <c r="D28" i="36"/>
  <c r="Z79" i="45"/>
  <c r="Q79"/>
  <c r="H41" i="14"/>
  <c r="O37"/>
  <c r="L18" i="10" l="1"/>
  <c r="L20" s="1"/>
  <c r="E20"/>
  <c r="J24" i="36"/>
  <c r="F28"/>
  <c r="F44" s="1"/>
  <c r="AA79" i="45"/>
  <c r="AA82" s="1"/>
  <c r="P21" i="2"/>
  <c r="E44" i="36"/>
  <c r="I28"/>
  <c r="I44" s="1"/>
  <c r="J28"/>
  <c r="J44" s="1"/>
  <c r="AA87" i="45"/>
  <c r="AB79"/>
  <c r="AB59"/>
  <c r="AB60" s="1"/>
  <c r="M22" i="47"/>
  <c r="D44" i="36"/>
</calcChain>
</file>

<file path=xl/sharedStrings.xml><?xml version="1.0" encoding="utf-8"?>
<sst xmlns="http://schemas.openxmlformats.org/spreadsheetml/2006/main" count="1022" uniqueCount="337">
  <si>
    <t xml:space="preserve">M.  Status of Congressionally Requested Studies, Reports, and Evaluations </t>
  </si>
  <si>
    <t>end of line</t>
  </si>
  <si>
    <t xml:space="preserve">          Total DIRECT requirements</t>
  </si>
  <si>
    <t>23.1  GSA rent (Reimbursable)</t>
  </si>
  <si>
    <t>25.3 DHS Security (Reimbursable)</t>
  </si>
  <si>
    <t>2009 Supplementals</t>
  </si>
  <si>
    <t>Crosswalk of 2009 Availability</t>
  </si>
  <si>
    <t>2009 Availability</t>
  </si>
  <si>
    <t>2009 Increases ($000)</t>
  </si>
  <si>
    <t xml:space="preserve">2011 pay raise (1.4%)     </t>
  </si>
  <si>
    <t>2010 pay raise annualization (2.0%)</t>
  </si>
  <si>
    <t>2010 - 2011 Total Change</t>
  </si>
  <si>
    <t>F: Crosswalk of 2009 Availability</t>
  </si>
  <si>
    <t>end of page</t>
  </si>
  <si>
    <t>Financial Analysis of Program Changes</t>
  </si>
  <si>
    <t>Offset</t>
  </si>
  <si>
    <t>Total positions &amp; annual amount</t>
  </si>
  <si>
    <t xml:space="preserve">      Lapse (-)</t>
  </si>
  <si>
    <t xml:space="preserve">     Other personnel compensation</t>
  </si>
  <si>
    <t>Total FTE &amp; personnel compensation</t>
  </si>
  <si>
    <t>Agt./Atty.</t>
  </si>
  <si>
    <t>Resources by Department of Justice Strategic Goal/Objective</t>
  </si>
  <si>
    <t>Program Offsets</t>
  </si>
  <si>
    <t>Adjustments to Base</t>
  </si>
  <si>
    <t>Goal 1: Prevent Terrorism and Promote the Nation's Security</t>
  </si>
  <si>
    <t>Subtotal, Goal 1</t>
  </si>
  <si>
    <t>Status of Congressionally Requested Studies, Reports, and Evaluations</t>
  </si>
  <si>
    <t>Subtotal, Goal 2</t>
  </si>
  <si>
    <t>Subtotal, Goal 3</t>
  </si>
  <si>
    <t>GRAND TOTAL</t>
  </si>
  <si>
    <t>Direct, Reimb. Other FTE</t>
  </si>
  <si>
    <t>Direct Amount $000s</t>
  </si>
  <si>
    <t>ATBs</t>
  </si>
  <si>
    <t>11.1  Direct FTE &amp; personnel compensation</t>
  </si>
  <si>
    <t xml:space="preserve">       Total </t>
  </si>
  <si>
    <t>Average SES Salary</t>
  </si>
  <si>
    <t xml:space="preserve">   1.3  Prosecute those who have committed, or intend to commit, terrorist acts in                                                                                                                                                                                                                                                                                                                             the United States  </t>
  </si>
  <si>
    <t>Perm. Pos.</t>
  </si>
  <si>
    <t>Location of Description by Decision Unit</t>
  </si>
  <si>
    <t>Reprogrammings / Transfers</t>
  </si>
  <si>
    <t>Carryover/ Recoveries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</si>
  <si>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</si>
  <si>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</si>
  <si>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</si>
  <si>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</si>
  <si>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</si>
  <si>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</si>
  <si>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</si>
  <si>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</si>
  <si>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</si>
  <si>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</si>
  <si>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D: Resources by DOJ Strategic Goal and Strategic Objective</t>
  </si>
  <si>
    <t>C: Program Increases/Offsets By Decision Unit</t>
  </si>
  <si>
    <t>B: Summary of Requirements</t>
  </si>
  <si>
    <t>Intelligence Series (132)</t>
  </si>
  <si>
    <t>Criminal Investigative Series (1811)</t>
  </si>
  <si>
    <t>2010 Availability</t>
  </si>
  <si>
    <t>2009 Enacted w/Rescissions and Supplementals</t>
  </si>
  <si>
    <t>Goal 2: Prevent Crime, Enforce Federal Laws and Represent the 
              Rights and Interests of the American People</t>
  </si>
  <si>
    <t xml:space="preserve">Goal 3: Ensure the Fair and Efficient Administration of Justice
           </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</si>
  <si>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</si>
  <si>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</si>
  <si>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1.4  Combat espionage against the United States </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</si>
  <si>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</si>
  <si>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</si>
  <si>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</si>
  <si>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</si>
  <si>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</si>
  <si>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</si>
  <si>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</si>
  <si>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</si>
  <si>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</si>
  <si>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</si>
  <si>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23.2 Moving/Lease Expirations/Contract Parking</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</si>
  <si>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</si>
  <si>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</si>
  <si>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3.7  Uphold the rights and improve services to America’s crime victims </t>
  </si>
  <si>
    <t xml:space="preserve">Total Adjustments to Base </t>
  </si>
  <si>
    <t>Increases:</t>
  </si>
  <si>
    <t>Decreases:</t>
  </si>
  <si>
    <t>Increase/Decrease</t>
  </si>
  <si>
    <t>Decision Unit</t>
  </si>
  <si>
    <t xml:space="preserve">     Total</t>
  </si>
  <si>
    <t>atb</t>
  </si>
  <si>
    <t>enhance</t>
  </si>
  <si>
    <t>FTE</t>
  </si>
  <si>
    <t>Total</t>
  </si>
  <si>
    <t>Detail of Permanent Positions by Category</t>
  </si>
  <si>
    <t>Category</t>
  </si>
  <si>
    <t>Program</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</si>
  <si>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</si>
  <si>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</si>
  <si>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</si>
  <si>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</si>
  <si>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</si>
  <si>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</si>
  <si>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</si>
  <si>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</si>
  <si>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</si>
  <si>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</si>
  <si>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</si>
  <si>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</si>
  <si>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</si>
  <si>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</si>
  <si>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</si>
  <si>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</si>
  <si>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</si>
  <si>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</si>
  <si>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</si>
  <si>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</si>
  <si>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</si>
  <si>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</si>
  <si>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</si>
  <si>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</si>
  <si>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2009 Appropriation Enacted w/Rescissions and Supplementals</t>
  </si>
  <si>
    <t>2009 Enacted</t>
  </si>
  <si>
    <t>2010 Planned</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</si>
  <si>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</si>
  <si>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</si>
  <si>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</si>
  <si>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</si>
  <si>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</si>
  <si>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</si>
  <si>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</si>
  <si>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</si>
  <si>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</si>
  <si>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</si>
  <si>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</si>
  <si>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</si>
  <si>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</si>
  <si>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</si>
  <si>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</si>
  <si>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</si>
  <si>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</si>
  <si>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</si>
  <si>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</si>
  <si>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</si>
  <si>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</si>
  <si>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</si>
  <si>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</si>
  <si>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</si>
  <si>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</si>
  <si>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</si>
  <si>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</si>
  <si>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Summary of Requirements by Object Class</t>
  </si>
  <si>
    <t>Overtime</t>
  </si>
  <si>
    <t>Program Changes</t>
  </si>
  <si>
    <t>Total Program Changes</t>
  </si>
  <si>
    <t>Subtotal Increases</t>
  </si>
  <si>
    <t>Subtotal Offsets</t>
  </si>
  <si>
    <t>Travel</t>
  </si>
  <si>
    <t>FY 2011 Request</t>
  </si>
  <si>
    <t>2010 Enacted (with Rescissions, direct only)</t>
  </si>
  <si>
    <t>Total 2010 Enacted (with Rescissions and Supplementals)</t>
  </si>
  <si>
    <t>2011 Current Services</t>
  </si>
  <si>
    <t>2011 Total Request</t>
  </si>
  <si>
    <t>2010 Enacted</t>
  </si>
  <si>
    <t>2011 Adjustments to Base and Technical Adjustments</t>
  </si>
  <si>
    <t>2011 Increases</t>
  </si>
  <si>
    <t>2011 Offsets</t>
  </si>
  <si>
    <t>2011 Request</t>
  </si>
  <si>
    <t>FY 2011 Program Increases/Offsets By Decision Unit</t>
  </si>
  <si>
    <t>2010 Increases ($000)</t>
  </si>
  <si>
    <t>Annualization Required for 2011 ($000)</t>
  </si>
  <si>
    <t>FY 2009 Enacted Without Rescissions</t>
  </si>
  <si>
    <t>Crosswalk of 2010 Availability</t>
  </si>
  <si>
    <t>G: Crosswalk of 2010 Availability</t>
  </si>
  <si>
    <t xml:space="preserve">2009 Enacted w/Rescissions and Supplementals </t>
  </si>
  <si>
    <t>2009 Actuals</t>
  </si>
  <si>
    <t xml:space="preserve">   3.3  Provide for the safe, secure, and humane confinement of detained persons awaiting trial and/or sentencing, and those in the custody of the Federal Prison System </t>
  </si>
  <si>
    <t xml:space="preserve">   3.6  Promote and strengthen innovative strategies in the administration of State and local justice systems </t>
  </si>
  <si>
    <t>A-11: Summary of Requirements by Grade</t>
  </si>
  <si>
    <t>23.1  GSA rent</t>
  </si>
  <si>
    <t>25.4  Operation and maintenance of facilities</t>
  </si>
  <si>
    <t>Less lapse (50 %)</t>
  </si>
  <si>
    <t>Strategic Goal and Strategic Objective</t>
  </si>
  <si>
    <t>L: Summary of Requirements by Object Class</t>
  </si>
  <si>
    <t>K: Summary of Requirements by Grade</t>
  </si>
  <si>
    <t>Program Increases</t>
  </si>
  <si>
    <r>
      <t>Residential Guard Service (RGS).</t>
    </r>
    <r>
      <rPr>
        <sz val="9"/>
        <rFont val="Times New Roman"/>
        <family val="1"/>
      </rPr>
      <t xml:space="preserve">  $__________ is the change in cost to support existing staffing levels for a Department of State’s (DOS) Residential Guard Services, which is provided for security of employee housing complexes.  </t>
    </r>
  </si>
  <si>
    <t>25.5 Research and development contracts</t>
  </si>
  <si>
    <t>25.7 Operation and maintenance of equipment</t>
  </si>
  <si>
    <t>2009 Enacted (with Rescissions, direct only)</t>
  </si>
  <si>
    <t>Total 2009 Enacted (with Rescissions and Supplementals)</t>
  </si>
  <si>
    <t>2010 Supplementals</t>
  </si>
  <si>
    <t>Annualization of 2010 positions (FTE)</t>
  </si>
  <si>
    <t>Annualization of 2010 positions (dollars)</t>
  </si>
  <si>
    <t xml:space="preserve">Annualization of 2009 positions (dollars) </t>
  </si>
  <si>
    <t>2010 Estimate</t>
  </si>
  <si>
    <t>Justification for Base Adjustments</t>
  </si>
  <si>
    <t>Net Compensation</t>
  </si>
  <si>
    <t>Associated employee benefits</t>
  </si>
  <si>
    <t>Transportation of Things</t>
  </si>
  <si>
    <t>Communications/Utilities</t>
  </si>
  <si>
    <t>Printing/Reproduction</t>
  </si>
  <si>
    <t>Other Contractual Services:</t>
  </si>
  <si>
    <t xml:space="preserve">    25.2  Other Services</t>
  </si>
  <si>
    <t xml:space="preserve">    25.3  Purchase of Goods and Services from Government Accts.</t>
  </si>
  <si>
    <t xml:space="preserve">    25.4 Operation and Maintenance of Facilities</t>
  </si>
  <si>
    <t>Supplies and Materials</t>
  </si>
  <si>
    <t>TOTAL COSTS SUBJECT TO ANNUALIZATION</t>
  </si>
  <si>
    <t>Decreases</t>
  </si>
  <si>
    <t xml:space="preserve">Amount  </t>
  </si>
  <si>
    <t>Grades:</t>
  </si>
  <si>
    <t>(Dollars in Thousands)</t>
  </si>
  <si>
    <t>Salaries and Expenses</t>
  </si>
  <si>
    <t>A: Organizational Chart</t>
  </si>
  <si>
    <t>Total Offsets</t>
  </si>
  <si>
    <t xml:space="preserve">     Reimbursable FTE</t>
  </si>
  <si>
    <t>Other FTE:</t>
  </si>
  <si>
    <t>Total Comp. FTE</t>
  </si>
  <si>
    <t>Total FTE</t>
  </si>
  <si>
    <t>Reimbursable FTE</t>
  </si>
  <si>
    <t>Other FTE</t>
  </si>
  <si>
    <t>Total Compensable FTE</t>
  </si>
  <si>
    <t>Headquarters (Washington, D.C.)</t>
  </si>
  <si>
    <t>Summary of Requirements</t>
  </si>
  <si>
    <t>Reimbursable FTE:</t>
  </si>
  <si>
    <t>Total Program Increases</t>
  </si>
  <si>
    <t>Supplementals</t>
  </si>
  <si>
    <t xml:space="preserve">     Subtotal Increases</t>
  </si>
  <si>
    <t xml:space="preserve">    Subtotal Decreases</t>
  </si>
  <si>
    <t>Collections by Source</t>
  </si>
  <si>
    <t>Budgetary Resources:</t>
  </si>
  <si>
    <t>Estimates by budget activity</t>
  </si>
  <si>
    <t>Pos.</t>
  </si>
  <si>
    <t xml:space="preserve"> </t>
  </si>
  <si>
    <t>Amount</t>
  </si>
  <si>
    <t>Increases</t>
  </si>
  <si>
    <t>U.S. Field</t>
  </si>
  <si>
    <t>Foreign Field</t>
  </si>
  <si>
    <t>Offsets</t>
  </si>
  <si>
    <t>TOTAL</t>
  </si>
  <si>
    <t>Summary of Requirements by Grade</t>
  </si>
  <si>
    <t>25.3 Purchases of goods &amp; services from Government accounts (Antennas, DHS Sec. Etc..)</t>
  </si>
  <si>
    <t>Bureau of Alcohol, Tobacco, Firearms and Explosives</t>
  </si>
  <si>
    <t>Retirement</t>
  </si>
  <si>
    <t>Health Insurance Premiums</t>
  </si>
  <si>
    <t>Employee Compensation Fund</t>
  </si>
  <si>
    <t>Rental Payments to GSA</t>
  </si>
  <si>
    <t>Moving/Lease Expirations</t>
  </si>
  <si>
    <t>DHS Security</t>
  </si>
  <si>
    <t>ICASS</t>
  </si>
  <si>
    <t>Capital Security Cost Sharing</t>
  </si>
  <si>
    <t>Non-recurral of FY 2010 - SWB</t>
  </si>
  <si>
    <t>ARRA SWB Gunrunner</t>
  </si>
  <si>
    <t>Non-recurral of FY 2010 - NCETR S&amp;E</t>
  </si>
  <si>
    <t>Annual salary rate of 134 new positions</t>
  </si>
  <si>
    <t>GSA Rent</t>
  </si>
  <si>
    <t>Rental Payments to Others</t>
  </si>
  <si>
    <t>Advisory and Assistance Services</t>
  </si>
  <si>
    <t xml:space="preserve">    25.7  Operation and Maintenance of Equipment</t>
  </si>
  <si>
    <r>
      <t>Health Insurance</t>
    </r>
    <r>
      <rPr>
        <sz val="9"/>
        <rFont val="Times New Roman"/>
        <family val="1"/>
      </rPr>
      <t>:  Effective January 2011, this component's contribution to Federal employees' health insurance premiums increased by 7.4% percent.  Applied against the 2010 estimate of $35.0 million, the additional amount required is $2.6 million.</t>
    </r>
  </si>
  <si>
    <r>
      <t>Moves (Lease Expirations)</t>
    </r>
    <r>
      <rPr>
        <sz val="9"/>
        <rFont val="Times New Roman"/>
        <family val="1"/>
      </rPr>
      <t>.  GSA requires all agencies to pay relocation costs associated with lease expirations.  This request provides for the costs associated with new office relocations caused by the expiration of leases in FY 2011.  Funding of $4.4 million is required for this account.</t>
    </r>
  </si>
  <si>
    <t>Firearms</t>
  </si>
  <si>
    <t>Arson &amp; Explosives</t>
  </si>
  <si>
    <t>Alcohol &amp; Tobacco</t>
  </si>
  <si>
    <t>OCDETF</t>
  </si>
  <si>
    <t>OJP (GREAT)</t>
  </si>
  <si>
    <t>Other</t>
  </si>
  <si>
    <t>1.  DOJ Report on Reducing Regulatory Backlog</t>
  </si>
  <si>
    <t>2.  DOJ Report on Combating Gangs</t>
  </si>
  <si>
    <t>The Statement of Managers report associated with the FY 2010 Consolidated Appropriations Act directs ATF to coordinate with the FBI and other DOJ entities to maximize effectiveness of anti-gang efforts, and to report to the Committees within 120 days of the enactment of this Act on the spending plans for the additional resources provided in this Act for such efforts.   Target response is May 16.</t>
  </si>
  <si>
    <t xml:space="preserve">The Statement of Managers report associated with the FY 2010 Consolidated Appropriations Act indicated that the conferees remain concerned with the existence of significant regulatory backlogs in portions of the Department, particularly the Bureau of Alcohol, Tobacco, Firearms and Explosives (ATF). While ATF and other relevant bureaus hold primary responsibility for getting their regulations drafted, reviewed and disposed of in a timely manner, the Department also plays a significant roles, and lengthy delays in the Department's consideration of proposed regulations are contributing to the larger timeliness problem. The Department is directed to examine its regulatory review process (to include processes at the relevant bureaus) and to report to the House and Senate Committees on Appropriations within 120 days of the enactment of this Act on recommended process reforms or resource investments that could shorten the total amount of time needed to draft and complete consideration of new regulations.  Target response is May 16.  </t>
  </si>
  <si>
    <t>3.  Congressional Relocation Report (CRR)</t>
  </si>
  <si>
    <t>The CRR reports notification of any ATF relocations, office closings or new additions.  The 2009 CRR is still pending at Justice.</t>
  </si>
  <si>
    <t>1.3% Increase in FERS Contributions</t>
  </si>
  <si>
    <t>Working Capital Fund Rate Adjustment</t>
  </si>
  <si>
    <t>Government Printing Office</t>
  </si>
  <si>
    <t>Education Allowance</t>
  </si>
  <si>
    <t>Government Leased Quarters</t>
  </si>
  <si>
    <t>Living Quarters Allowance</t>
  </si>
  <si>
    <t>Post Allowance/Cost of Living Allowance</t>
  </si>
  <si>
    <t>Non-Recur - ATF Headquarters Projects</t>
  </si>
  <si>
    <t>Emergency Support Function #13 (ESF 13)</t>
  </si>
  <si>
    <t>ARRA Southwest Border Gunrunner</t>
  </si>
  <si>
    <t>Emergency Support Function - 13 (ESF-13)</t>
  </si>
  <si>
    <t>Bureau-wide</t>
  </si>
  <si>
    <r>
      <t>Annualization of 2010 pay raise</t>
    </r>
    <r>
      <rPr>
        <sz val="9"/>
        <rFont val="Times New Roman"/>
        <family val="1"/>
      </rPr>
      <t>.  This pay annualization represents first quarter amounts (October through December) of the 2010 pay increase of 2.0 percent included in the 2010 President's Budget.  The amount requested, $3.4 million, represents the pay amounts for 1/4 of the fiscal year plus appropriate benefits ($ 2.6 million for pay and $0.8 million for benefits).</t>
    </r>
  </si>
  <si>
    <r>
      <t>Annualization of additional positions approved in 2009 and 2010</t>
    </r>
    <r>
      <rPr>
        <sz val="9"/>
        <rFont val="Times New Roman"/>
        <family val="1"/>
      </rPr>
      <t xml:space="preserve">.  This provides for the annualization of 42 additional positions appropriated in 2009 and 92 additional positions in the FY 2010 Enacted Appropriations.  Annualization of new positions extends to 3 years to provide for entry level funding in the first year with a 2-year progression to the journeyman level.  For 2009 increases, this request includes an increase of $3.0 million for full-year payroll costs associated with these additional positions.   For 2010, this request includes a decrease of $1.3 millon for one-time items associated with the increased positions, and an increase of $8.1 million for full-year costs associated with these additional positions, for a net increase of $6.8 million. </t>
    </r>
  </si>
  <si>
    <r>
      <t>FERS Regular/Law Enforcement Retirement Contribution.</t>
    </r>
    <r>
      <rPr>
        <sz val="9"/>
        <color indexed="8"/>
        <rFont val="Times New Roman"/>
        <family val="1"/>
      </rPr>
      <t xml:space="preserve">  The National Defense Authorization Act for Fiscal Year 2010, Public Law 111-84, approved October 8, 2009, includes new benefits for employees covered by the Federal Employees Retirement System.  Effective October 1, 2010 (FY 2011), the normal cost of regular retirement under FERS will increase from 12.0% to 12.5%, or a total of 0.5%.  The FERS contribution for Law Enforcement retirement will increase from 26.2% to 27.0%, or a total of 0.8 increase.  This will result in new agency contribution rates of 11.7% for normal costs (up from the current 11.2%) and 25.7% for law enforcement personnel (up from the current 24.9%).  The amount requested, $3.4 million, represents the funds needed to cover this increase. </t>
    </r>
  </si>
  <si>
    <r>
      <t>Retirement</t>
    </r>
    <r>
      <rPr>
        <sz val="9"/>
        <rFont val="Times New Roman"/>
        <family val="1"/>
      </rPr>
      <t>.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$0.7 million is necessary to meet our increased retirement obligations as a result of this conversion.</t>
    </r>
  </si>
  <si>
    <t>Employees Compensation Fund:  The $0.3 million increase reflects payments to the Department of Labor for injury benefits paid in the past year under the Federal Employee Compensation Act.  This estimate is based on the first quarter of prior year billing and current year estimates.</t>
  </si>
  <si>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$4.6 million is required to meet our commitment to GSA.  The costs associated with GSA rent were derived through the use of an automated system, which uses the latest inventory data, including rate increases to be effective in FY 2011 for each building currently occupied by Department of Justice components, as well as the costs of new space to be occupied.  GSA provided data on the rate increases.</t>
    </r>
  </si>
  <si>
    <r>
      <t>DHS Security Charges</t>
    </r>
    <r>
      <rPr>
        <sz val="9"/>
        <color indexed="8"/>
        <rFont val="Times New Roman"/>
        <family val="1"/>
      </rPr>
      <t>.  The Department of Homeland Security (DHS) will continue to charge Basic Security and Building Specific Security.  The requested increase of $0.2 million is required to meet our commitment to DHS, and cost estimates were developed by DHS.</t>
    </r>
  </si>
  <si>
    <t xml:space="preserve">WCF Rate Adjustments.  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raises and cost of living increases, contractual changes, and information technology maintenance and technology refreshment upgrades.  Funding of $2.5 million is required for this account.                          
</t>
  </si>
  <si>
    <r>
      <t>Education Allowance.</t>
    </r>
    <r>
      <rPr>
        <sz val="9"/>
        <rFont val="Times New Roman"/>
        <family val="1"/>
      </rPr>
      <t xml:space="preserve">  For employees stationed abroad, components are obligated to meet the educational expenses incurred by an employee in providing adequate elementary (grades K-8) and secondary (grades 9-12) education for dependent children at post.  $0.1 million reflects the change in cost to support existing staffing levels.  </t>
    </r>
  </si>
  <si>
    <r>
      <t>Government Leased Quarters (GLQ) Requirement</t>
    </r>
    <r>
      <rPr>
        <sz val="9"/>
        <rFont val="Times New Roman"/>
        <family val="1"/>
      </rPr>
      <t xml:space="preserve">.  GLQ is a mandatory program managed by the Department of State (DOS) and provides government employees stationed overseas with housing and utilities.  DOS exercises authority for leases and control of the GLQs and negotiates the lease for components. $0.2 million reflects the change in cost to support existing staffing levels.  </t>
    </r>
  </si>
  <si>
    <r>
      <t>Living Quarter Allowance.</t>
    </r>
    <r>
      <rPr>
        <sz val="9"/>
        <rFont val="Times New Roman"/>
        <family val="1"/>
      </rPr>
      <t xml:space="preserve">  The living quarters allowance (LQA) is an allowance granted an employee for the annual cost of adequate living quarters for the employee and the employee's family at a foreign post.  The rates are designed to cover the average costs of rent, heat, light, fuel, gas, electricity, water, local taxes, and insurance paid by the employee.  Employees who receive GLQ do not receive LQA and vice versa.  $0.1 million reflects the change in cost to support existing staffing levels.  </t>
    </r>
  </si>
  <si>
    <r>
      <t>Post Allowance - Cost of Living Allowance (COLA).</t>
    </r>
    <r>
      <rPr>
        <sz val="9"/>
        <rFont val="Times New Roman"/>
        <family val="1"/>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$0.051 million reflects the increase in cost to support existing staffing levels.  </t>
    </r>
  </si>
  <si>
    <r>
      <t>International Cooperative Administrative Support Services (ICASS)</t>
    </r>
    <r>
      <rPr>
        <sz val="9"/>
        <color indexed="8"/>
        <rFont val="Times New Roman"/>
        <family val="1"/>
      </rPr>
      <t>.  Under the ICASS, an annual charge is made by the Department of State for administrative support based on the overseas staff of each federal agency.  This request of $0.060 million is based on the projected FY 2010 bill for post invoices and other ICASS costs.</t>
    </r>
  </si>
  <si>
    <r>
      <t>Government Printing Office (GPO):</t>
    </r>
    <r>
      <rPr>
        <sz val="9"/>
        <rFont val="Times New Roman"/>
        <family val="1"/>
      </rPr>
      <t xml:space="preserve">  GPO provides an estimate rate increase of 4%.  This percentage was applied to the FY 2010 estimate of $0.175 million to arrive at an increase of $0.007 million.</t>
    </r>
  </si>
  <si>
    <t>International Organized Crime (IOC)</t>
  </si>
  <si>
    <t>IO Investigators (1801 and 1854)</t>
  </si>
  <si>
    <t>ESF-13</t>
  </si>
  <si>
    <t>Operation and maintenance of Facilities</t>
  </si>
  <si>
    <t>Bureau-Wide</t>
  </si>
  <si>
    <t>Ungraded Positions</t>
  </si>
  <si>
    <t>13.0  Benefits to Former Personnel</t>
  </si>
  <si>
    <t>32.0  Land and Structures</t>
  </si>
  <si>
    <t>42.0  Insruance Claims &amp; Indemnity</t>
  </si>
  <si>
    <t>43.0  Interest &amp; Dividends</t>
  </si>
  <si>
    <t>Supplementals.  The amount reflects the $14 M received from P.L.111-32.</t>
  </si>
  <si>
    <t xml:space="preserve">Transfers.  The amount reflects the transfer of funds from ONDCP to ATF 15 8/9 0700 ($.005M) and ATF 15 9/10 0700 ($.480M) for approved HIDTA programs within ATF Field Divisions, transfer of $10M  </t>
  </si>
  <si>
    <t xml:space="preserve">from OJP to ATF 15 X 0699 for Southwest Border Stimulus, a transfer in of $14.041M for ATF Radio Spectrum, and a transfer out from ATF 15 9 0700 to DOJ Radio Program ($.665M).  </t>
  </si>
  <si>
    <t>Unobligated Balances.  Funds were carried over from FY 2008 from the 15x0700, 15x8526 and 15 8/9 0700 accounts.  ATF brought forward $2.206M from funds provided in FY2008 for the no-year portion of</t>
  </si>
  <si>
    <t xml:space="preserve">the S&amp;E Appropriations, with actual recoveries of $6.165M; $1.029M from funds provided in FY2008 for GREAT/VCIT, $3.831M from funds provided in FY2008 for HIDTA &amp; IRAQ Supplemental </t>
  </si>
  <si>
    <t xml:space="preserve">with actual recoveries of $.071M, and $17.335M from funds provided in FY2008 for Radio Spectrum Relocation with actual recoveries of $16.039M. </t>
  </si>
  <si>
    <t xml:space="preserve">Transfers.  The amount reflects the transfer of funds from ONDCP to ATF 15 9/10 0700 ($.229M) for approved HIDTA programs within ATF Field Divisions  </t>
  </si>
  <si>
    <t xml:space="preserve">Unobligated Balances.  Funds were carried over from FY 2009 from the 15x0700, 15x8526, 15 9/10 699 and 15 9/10 0700 accounts.  ATF brought forward $.321M from funds provided in FY2009 for the no-year portion of the </t>
  </si>
  <si>
    <t>S&amp;E Appropriations, with year-to-date recoveries of $.482M and anticipated recoveries of $1.674M; $1.029M from funds provided in FY2009 for GREAT/VCIT with anticipated recoveries of $.005M,</t>
  </si>
  <si>
    <t xml:space="preserve">$11.403M from funds provided in FY2009 for HIDTA &amp; FY09/10 Supplemental with anticipated recoveries of $.053M, $40.254M from funds provided in FY2009 for Radio Spectrum Relocation with year-to-date recoveries </t>
  </si>
  <si>
    <t xml:space="preserve">of $.064M and anticipated recoveries of $9.593M; $5.985M from funds provided in FY2009 for American Recovery &amp; Reinvestment Act, with year-to-date recoveries of $.347M and anticipated recoveries </t>
  </si>
  <si>
    <t>of $.053M and $0M from funds provided in FY2009 for NCETR Construction with anticipated recoveries of $.400M.</t>
  </si>
  <si>
    <r>
      <t>Non-Recurring Decreases.</t>
    </r>
    <r>
      <rPr>
        <sz val="9"/>
        <rFont val="Times New Roman"/>
        <family val="1"/>
      </rPr>
      <t xml:space="preserve">  This request includes a decrease of $1.5 million for ATF Headquarters projects, a decrease of $1.3 million for one-time items associated with the increase of Southwest Border positions, and a decrease of $3.0 million for NCETR S&amp;E related to FY 2010.</t>
    </r>
  </si>
  <si>
    <t xml:space="preserve">  Total, 2011 program changes requested</t>
  </si>
  <si>
    <r>
      <t>Overseas Capital Security Cost Sharing (CSCS).</t>
    </r>
    <r>
      <rPr>
        <sz val="9"/>
        <color indexed="8"/>
        <rFont val="Times New Roman"/>
        <family val="1"/>
      </rPr>
      <t xml:space="preserve">  The Department of State (DOS) is in the midst of a 14-year, $17.5 billion embassy construction program, with a plan to build approximately 150 new diplomatic and consular compounds.  DOS has proposed that costs be allocated through a Capital Security Cost Sharing Program in which each agency will contribute funding based on the number of positions that are authorized for overseas personnel.  The estimated cost to the Department, as provided by DOS, for FY 2011 is $69.9 million.  ATF currently has 30 positions overseas, and a increase of $0.2 million is requested for this account.  </t>
    </r>
  </si>
  <si>
    <r>
      <t>2011 pay raise</t>
    </r>
    <r>
      <rPr>
        <sz val="9"/>
        <rFont val="Times New Roman"/>
        <family val="1"/>
      </rPr>
      <t>.  This request provides for a proposed 1.4 percent pay raise to be effective in January of 2011  (This percentage is likely to change as the budget formulation process progresses.)  This increase only includes the general pay raise.  The amount requested, $7.2 million, represents the pay amounts for 3/4 of the fiscal year plus appropriate benefits ($5.5 million for pay and $1.7 million for benefits).</t>
    </r>
  </si>
  <si>
    <t>SES, $119,554 - 179,700</t>
  </si>
  <si>
    <t>GS-1, $22,115 - 27,663</t>
  </si>
  <si>
    <t>GS-2, $24,865 - 31,292</t>
  </si>
  <si>
    <t>GS-4, $30,456 - 39,590</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</si>
  <si>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</si>
  <si>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</si>
  <si>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</si>
  <si>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</si>
  <si>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</si>
  <si>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</si>
  <si>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</si>
  <si>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</si>
  <si>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</si>
  <si>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</si>
  <si>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</si>
  <si>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GS-3, $27,130 - 35,269</t>
  </si>
  <si>
    <t>Travel and Management Efficiencies</t>
  </si>
  <si>
    <t>FY 2010 Enacted without rescissions</t>
  </si>
  <si>
    <t>Firearms ARRA Southwest Border Gunrunner</t>
  </si>
</sst>
</file>

<file path=xl/styles.xml><?xml version="1.0" encoding="utf-8"?>
<styleSheet xmlns="http://schemas.openxmlformats.org/spreadsheetml/2006/main">
  <numFmts count="10">
    <numFmt numFmtId="5" formatCode="&quot;$&quot;#,##0_);\(&quot;$&quot;#,##0\)"/>
    <numFmt numFmtId="44" formatCode="_(&quot;$&quot;* #,##0.00_);_(&quot;$&quot;* \(#,##0.00\);_(&quot;$&quot;* &quot;-&quot;??_);_(@_)"/>
    <numFmt numFmtId="43" formatCode="_(* #,##0.00_);_(* \(#,##0.00\);_(* &quot;-&quot;??_);_(@_)"/>
    <numFmt numFmtId="165" formatCode="&quot;$&quot;#,##0"/>
    <numFmt numFmtId="177" formatCode="_(* #,##0_);_(* \(#,##0\);_(* &quot;....&quot;_);_(@_)"/>
    <numFmt numFmtId="183" formatCode="_(* #,##0_);_(* \(#,##0\);_(* &quot;-&quot;??_);_(@_)"/>
    <numFmt numFmtId="185" formatCode="_(&quot;$&quot;* #,##0_);_(&quot;$&quot;* \(#,##0\);_(&quot;$&quot;* &quot;-&quot;??_);_(@_)"/>
    <numFmt numFmtId="206" formatCode="0_);\(0\)"/>
    <numFmt numFmtId="218" formatCode="_(* #,##0.000_);_(* \(#,##0.000\);_(* &quot;....&quot;_);_(@_)"/>
    <numFmt numFmtId="219" formatCode="_(* #,##0.0000_);_(* \(#,##0.0000\);_(* &quot;....&quot;_);_(@_)"/>
  </numFmts>
  <fonts count="76">
    <font>
      <sz val="12"/>
      <name val="Arial"/>
    </font>
    <font>
      <u/>
      <sz val="12"/>
      <name val="TimesNewRomanPS"/>
    </font>
    <font>
      <sz val="12"/>
      <name val="TimesNewRomanPS"/>
    </font>
    <font>
      <sz val="12"/>
      <name val="Times New Roman"/>
      <family val="1"/>
    </font>
    <font>
      <sz val="12"/>
      <name val="Times New Roman"/>
      <family val="1"/>
    </font>
    <font>
      <sz val="12"/>
      <name val="Arial MT"/>
    </font>
    <font>
      <sz val="10"/>
      <color indexed="8"/>
      <name val="TMS"/>
    </font>
    <font>
      <b/>
      <sz val="14"/>
      <name val="TimesNewRomanPS"/>
    </font>
    <font>
      <sz val="13"/>
      <name val="TimesNewRomanP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i/>
      <sz val="11"/>
      <name val="Times New Roman"/>
      <family val="1"/>
    </font>
    <font>
      <sz val="8"/>
      <color indexed="8"/>
      <name val="Times New Roman"/>
      <family val="1"/>
    </font>
    <font>
      <u/>
      <sz val="12"/>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sz val="10"/>
      <name val="TimesNewRomanPS"/>
    </font>
    <font>
      <sz val="10"/>
      <name val="Arial"/>
      <family val="2"/>
    </font>
    <font>
      <b/>
      <sz val="10"/>
      <name val="Times New Roman"/>
      <family val="1"/>
    </font>
    <font>
      <b/>
      <sz val="10"/>
      <name val="Arial"/>
      <family val="2"/>
    </font>
    <font>
      <u/>
      <sz val="10"/>
      <name val="Times New Roman"/>
      <family val="1"/>
    </font>
    <font>
      <i/>
      <sz val="10"/>
      <name val="Times New Roman"/>
      <family val="1"/>
    </font>
    <font>
      <sz val="12"/>
      <color indexed="8"/>
      <name val="Times New Roman"/>
      <family val="1"/>
    </font>
    <font>
      <b/>
      <sz val="12"/>
      <color indexed="8"/>
      <name val="Times New Roman"/>
      <family val="1"/>
    </font>
    <font>
      <b/>
      <sz val="12"/>
      <name val="TimesNewRomanPS"/>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sz val="9"/>
      <name val="Times New Roman"/>
      <family val="1"/>
    </font>
    <font>
      <b/>
      <sz val="24"/>
      <name val="Times New Roman"/>
      <family val="1"/>
    </font>
    <font>
      <sz val="16"/>
      <color indexed="8"/>
      <name val="Times New Roman"/>
      <family val="1"/>
    </font>
    <font>
      <b/>
      <i/>
      <sz val="10"/>
      <name val="Arial"/>
      <family val="2"/>
    </font>
    <font>
      <u/>
      <sz val="9"/>
      <color indexed="8"/>
      <name val="Times New Roman"/>
      <family val="1"/>
    </font>
    <font>
      <sz val="8"/>
      <name val="Arial"/>
      <family val="2"/>
    </font>
    <font>
      <sz val="9"/>
      <name val="Arial"/>
      <family val="2"/>
    </font>
    <font>
      <sz val="12"/>
      <color indexed="8"/>
      <name val="Arial"/>
      <family val="2"/>
    </font>
    <font>
      <sz val="12"/>
      <color indexed="9"/>
      <name val="Arial"/>
      <family val="2"/>
    </font>
    <font>
      <sz val="9"/>
      <color indexed="9"/>
      <name val="Times New Roman"/>
      <family val="1"/>
    </font>
    <font>
      <sz val="12"/>
      <color indexed="9"/>
      <name val="TimesNewRomanPS"/>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b/>
      <sz val="12"/>
      <name val="Arial"/>
      <family val="2"/>
    </font>
    <font>
      <b/>
      <sz val="8"/>
      <color indexed="9"/>
      <name val="Times New Roman"/>
      <family val="1"/>
    </font>
    <font>
      <sz val="18"/>
      <name val="Arial"/>
      <family val="2"/>
    </font>
    <font>
      <sz val="16"/>
      <name val="Arial"/>
      <family val="2"/>
    </font>
    <font>
      <sz val="16"/>
      <name val="Times New Roman"/>
      <family val="1"/>
    </font>
    <font>
      <b/>
      <u/>
      <sz val="12"/>
      <name val="Times New Roman"/>
      <family val="1"/>
    </font>
    <font>
      <sz val="12"/>
      <color indexed="8"/>
      <name val="Arial"/>
      <family val="2"/>
    </font>
    <font>
      <sz val="9"/>
      <name val="Arial"/>
      <family val="2"/>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134">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diagonal/>
    </border>
    <border>
      <left style="thin">
        <color indexed="8"/>
      </left>
      <right/>
      <top/>
      <bottom/>
      <diagonal/>
    </border>
    <border>
      <left/>
      <right style="thin">
        <color indexed="64"/>
      </right>
      <top/>
      <bottom/>
      <diagonal/>
    </border>
    <border>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8"/>
      </left>
      <right/>
      <top/>
      <bottom style="hair">
        <color indexed="8"/>
      </bottom>
      <diagonal/>
    </border>
    <border>
      <left style="thin">
        <color indexed="8"/>
      </left>
      <right style="thin">
        <color indexed="64"/>
      </right>
      <top/>
      <bottom style="hair">
        <color indexed="8"/>
      </bottom>
      <diagonal/>
    </border>
    <border>
      <left style="thin">
        <color indexed="8"/>
      </left>
      <right style="thin">
        <color indexed="8"/>
      </right>
      <top style="hair">
        <color indexed="8"/>
      </top>
      <bottom style="thin">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8"/>
      </bottom>
      <diagonal/>
    </border>
    <border>
      <left style="thin">
        <color indexed="64"/>
      </left>
      <right/>
      <top style="thin">
        <color indexed="64"/>
      </top>
      <bottom style="medium">
        <color indexed="64"/>
      </bottom>
      <diagonal/>
    </border>
    <border>
      <left style="thin">
        <color indexed="64"/>
      </left>
      <right/>
      <top style="hair">
        <color indexed="64"/>
      </top>
      <bottom style="medium">
        <color indexed="64"/>
      </bottom>
      <diagonal/>
    </border>
    <border>
      <left style="thin">
        <color indexed="8"/>
      </left>
      <right/>
      <top/>
      <bottom style="medium">
        <color indexed="8"/>
      </bottom>
      <diagonal/>
    </border>
    <border>
      <left/>
      <right style="medium">
        <color indexed="8"/>
      </right>
      <top style="thin">
        <color indexed="8"/>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23"/>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23"/>
      </top>
      <bottom style="thin">
        <color indexed="23"/>
      </bottom>
      <diagonal/>
    </border>
    <border>
      <left/>
      <right style="thin">
        <color indexed="64"/>
      </right>
      <top style="thin">
        <color indexed="23"/>
      </top>
      <bottom style="thin">
        <color indexed="23"/>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23"/>
      </bottom>
      <diagonal/>
    </border>
    <border>
      <left/>
      <right style="thin">
        <color indexed="8"/>
      </right>
      <top/>
      <bottom style="hair">
        <color indexed="8"/>
      </bottom>
      <diagonal/>
    </border>
    <border>
      <left/>
      <right/>
      <top/>
      <bottom style="hair">
        <color indexed="8"/>
      </bottom>
      <diagonal/>
    </border>
    <border>
      <left/>
      <right style="medium">
        <color indexed="64"/>
      </right>
      <top/>
      <bottom style="hair">
        <color indexed="8"/>
      </bottom>
      <diagonal/>
    </border>
    <border>
      <left style="thin">
        <color indexed="8"/>
      </left>
      <right/>
      <top style="hair">
        <color indexed="8"/>
      </top>
      <bottom style="hair">
        <color indexed="8"/>
      </bottom>
      <diagonal/>
    </border>
    <border>
      <left/>
      <right style="medium">
        <color indexed="8"/>
      </right>
      <top style="hair">
        <color indexed="8"/>
      </top>
      <bottom style="hair">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style="medium">
        <color indexed="8"/>
      </right>
      <top/>
      <bottom/>
      <diagonal/>
    </border>
    <border>
      <left/>
      <right style="thin">
        <color indexed="8"/>
      </right>
      <top/>
      <bottom style="thin">
        <color indexed="23"/>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8"/>
      </bottom>
      <diagonal/>
    </border>
    <border>
      <left/>
      <right style="thin">
        <color indexed="64"/>
      </right>
      <top/>
      <bottom style="hair">
        <color indexed="8"/>
      </bottom>
      <diagonal/>
    </border>
    <border>
      <left/>
      <right style="thin">
        <color indexed="8"/>
      </right>
      <top style="thin">
        <color indexed="8"/>
      </top>
      <bottom style="medium">
        <color indexed="64"/>
      </bottom>
      <diagonal/>
    </border>
    <border>
      <left/>
      <right style="medium">
        <color indexed="8"/>
      </right>
      <top style="hair">
        <color indexed="8"/>
      </top>
      <bottom style="thin">
        <color indexed="8"/>
      </bottom>
      <diagonal/>
    </border>
    <border>
      <left/>
      <right style="medium">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right style="medium">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style="thin">
        <color indexed="8"/>
      </right>
      <top/>
      <bottom style="hair">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23"/>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right style="thin">
        <color indexed="64"/>
      </right>
      <top style="thin">
        <color indexed="23"/>
      </top>
      <bottom style="hair">
        <color indexed="64"/>
      </bottom>
      <diagonal/>
    </border>
    <border>
      <left style="thin">
        <color indexed="64"/>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64"/>
      </left>
      <right style="thin">
        <color indexed="64"/>
      </right>
      <top style="thin">
        <color indexed="23"/>
      </top>
      <bottom style="hair">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23"/>
      </top>
      <bottom style="thin">
        <color indexed="23"/>
      </bottom>
      <diagonal/>
    </border>
    <border>
      <left/>
      <right/>
      <top/>
      <bottom style="thin">
        <color indexed="23"/>
      </bottom>
      <diagonal/>
    </border>
    <border>
      <left style="thin">
        <color indexed="64"/>
      </left>
      <right/>
      <top/>
      <bottom style="thin">
        <color indexed="8"/>
      </bottom>
      <diagonal/>
    </border>
    <border>
      <left/>
      <right/>
      <top style="thin">
        <color indexed="23"/>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thin">
        <color indexed="64"/>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8"/>
      </top>
      <bottom/>
      <diagonal/>
    </border>
    <border>
      <left style="thin">
        <color indexed="8"/>
      </left>
      <right/>
      <top/>
      <bottom style="thin">
        <color indexed="8"/>
      </bottom>
      <diagonal/>
    </border>
    <border>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medium">
        <color indexed="64"/>
      </top>
      <bottom style="hair">
        <color indexed="64"/>
      </bottom>
      <diagonal/>
    </border>
  </borders>
  <cellStyleXfs count="7">
    <xf numFmtId="0" fontId="0" fillId="0" borderId="0"/>
    <xf numFmtId="43" fontId="26" fillId="0" borderId="0" applyFont="0" applyFill="0" applyBorder="0" applyAlignment="0" applyProtection="0"/>
    <xf numFmtId="44" fontId="26" fillId="0" borderId="0" applyFont="0" applyFill="0" applyBorder="0" applyAlignment="0" applyProtection="0"/>
    <xf numFmtId="0" fontId="26" fillId="0" borderId="0"/>
    <xf numFmtId="0" fontId="26" fillId="0" borderId="0"/>
    <xf numFmtId="0" fontId="26" fillId="0" borderId="0"/>
    <xf numFmtId="0" fontId="26" fillId="0" borderId="0"/>
  </cellStyleXfs>
  <cellXfs count="833">
    <xf numFmtId="0" fontId="0" fillId="0" borderId="0" xfId="0"/>
    <xf numFmtId="177" fontId="2" fillId="0" borderId="0" xfId="0" applyNumberFormat="1" applyFont="1" applyAlignment="1"/>
    <xf numFmtId="177" fontId="2" fillId="0" borderId="0" xfId="0" applyNumberFormat="1" applyFont="1" applyBorder="1" applyAlignment="1"/>
    <xf numFmtId="177" fontId="9" fillId="0" borderId="0" xfId="0" applyNumberFormat="1" applyFont="1"/>
    <xf numFmtId="177" fontId="9" fillId="0" borderId="0" xfId="0" applyNumberFormat="1" applyFont="1" applyBorder="1"/>
    <xf numFmtId="3" fontId="9" fillId="0" borderId="0" xfId="0" applyNumberFormat="1" applyFont="1" applyAlignment="1"/>
    <xf numFmtId="3" fontId="12" fillId="0" borderId="0" xfId="0" applyNumberFormat="1" applyFont="1" applyAlignment="1"/>
    <xf numFmtId="3" fontId="9" fillId="0" borderId="0" xfId="0" applyNumberFormat="1" applyFont="1" applyAlignment="1">
      <alignment horizontal="centerContinuous"/>
    </xf>
    <xf numFmtId="3" fontId="9" fillId="0" borderId="0" xfId="0" applyNumberFormat="1" applyFont="1" applyAlignment="1">
      <alignment horizontal="fill"/>
    </xf>
    <xf numFmtId="3" fontId="9" fillId="0" borderId="0" xfId="0" applyNumberFormat="1" applyFont="1" applyBorder="1" applyAlignment="1"/>
    <xf numFmtId="177" fontId="12" fillId="0" borderId="0" xfId="0" applyNumberFormat="1" applyFont="1" applyAlignment="1"/>
    <xf numFmtId="177" fontId="9" fillId="0" borderId="0" xfId="0" applyNumberFormat="1" applyFont="1" applyAlignment="1"/>
    <xf numFmtId="177" fontId="13" fillId="0" borderId="0" xfId="0" applyNumberFormat="1" applyFont="1" applyAlignment="1">
      <alignment horizontal="centerContinuous"/>
    </xf>
    <xf numFmtId="177" fontId="9" fillId="0" borderId="0" xfId="0" applyNumberFormat="1" applyFont="1" applyAlignment="1">
      <alignment horizontal="centerContinuous"/>
    </xf>
    <xf numFmtId="177" fontId="15" fillId="0" borderId="0" xfId="0" applyNumberFormat="1" applyFont="1" applyAlignment="1">
      <alignment horizontal="centerContinuous"/>
    </xf>
    <xf numFmtId="177" fontId="16" fillId="0" borderId="0" xfId="0" applyNumberFormat="1" applyFont="1" applyAlignment="1">
      <alignment horizontal="centerContinuous"/>
    </xf>
    <xf numFmtId="177" fontId="4" fillId="0" borderId="0" xfId="0" applyNumberFormat="1" applyFont="1" applyAlignment="1"/>
    <xf numFmtId="177" fontId="7" fillId="0" borderId="0" xfId="0" applyNumberFormat="1" applyFont="1" applyAlignment="1">
      <alignment horizontal="centerContinuous"/>
    </xf>
    <xf numFmtId="177" fontId="2" fillId="0" borderId="0" xfId="0" applyNumberFormat="1" applyFont="1" applyAlignment="1">
      <alignment horizontal="centerContinuous"/>
    </xf>
    <xf numFmtId="177" fontId="8" fillId="0" borderId="0" xfId="0" applyNumberFormat="1" applyFont="1" applyAlignment="1">
      <alignment horizontal="centerContinuous"/>
    </xf>
    <xf numFmtId="177" fontId="5" fillId="0" borderId="0" xfId="0" applyNumberFormat="1" applyFont="1" applyAlignment="1"/>
    <xf numFmtId="177" fontId="1" fillId="0" borderId="0" xfId="0" applyNumberFormat="1" applyFont="1" applyAlignment="1"/>
    <xf numFmtId="177" fontId="4" fillId="0" borderId="0" xfId="0" applyNumberFormat="1" applyFont="1" applyBorder="1" applyAlignment="1"/>
    <xf numFmtId="177" fontId="0" fillId="0" borderId="0" xfId="0" applyNumberFormat="1"/>
    <xf numFmtId="177" fontId="6" fillId="2" borderId="0" xfId="0" applyNumberFormat="1" applyFont="1" applyFill="1" applyAlignment="1"/>
    <xf numFmtId="177" fontId="0" fillId="0" borderId="0" xfId="0" applyNumberFormat="1" applyBorder="1"/>
    <xf numFmtId="177" fontId="10" fillId="2" borderId="0" xfId="0" applyNumberFormat="1" applyFont="1" applyFill="1" applyAlignment="1"/>
    <xf numFmtId="177" fontId="10" fillId="2" borderId="0" xfId="0" applyNumberFormat="1" applyFont="1" applyFill="1" applyBorder="1" applyAlignment="1"/>
    <xf numFmtId="177" fontId="10" fillId="2" borderId="0" xfId="0" applyNumberFormat="1" applyFont="1" applyFill="1" applyAlignment="1">
      <alignment horizontal="centerContinuous"/>
    </xf>
    <xf numFmtId="177" fontId="9" fillId="0" borderId="0" xfId="0" applyNumberFormat="1" applyFont="1" applyBorder="1" applyAlignment="1">
      <alignment horizontal="centerContinuous"/>
    </xf>
    <xf numFmtId="177" fontId="11" fillId="2" borderId="0" xfId="0" applyNumberFormat="1" applyFont="1" applyFill="1" applyBorder="1" applyAlignment="1"/>
    <xf numFmtId="177" fontId="17" fillId="2" borderId="0" xfId="0" applyNumberFormat="1" applyFont="1" applyFill="1" applyAlignment="1"/>
    <xf numFmtId="177" fontId="9" fillId="0" borderId="0" xfId="0" applyNumberFormat="1" applyFont="1" applyAlignment="1">
      <alignment horizontal="right"/>
    </xf>
    <xf numFmtId="177" fontId="2" fillId="0" borderId="1" xfId="0" applyNumberFormat="1" applyFont="1" applyBorder="1" applyAlignment="1"/>
    <xf numFmtId="0" fontId="3" fillId="0" borderId="0" xfId="0" applyNumberFormat="1" applyFont="1" applyAlignment="1"/>
    <xf numFmtId="3" fontId="6" fillId="2" borderId="0" xfId="0" applyNumberFormat="1" applyFont="1" applyFill="1" applyAlignment="1"/>
    <xf numFmtId="3" fontId="6" fillId="2" borderId="0" xfId="0" applyNumberFormat="1" applyFont="1" applyFill="1" applyAlignment="1">
      <alignment horizontal="centerContinuous"/>
    </xf>
    <xf numFmtId="0" fontId="0" fillId="0" borderId="0" xfId="0" applyBorder="1"/>
    <xf numFmtId="3" fontId="6" fillId="2" borderId="0" xfId="0" applyNumberFormat="1" applyFont="1" applyFill="1" applyBorder="1" applyAlignment="1"/>
    <xf numFmtId="3" fontId="23" fillId="0" borderId="0" xfId="0" applyNumberFormat="1" applyFont="1" applyAlignment="1"/>
    <xf numFmtId="177" fontId="3" fillId="0" borderId="0" xfId="0" applyNumberFormat="1" applyFont="1" applyAlignment="1"/>
    <xf numFmtId="177" fontId="24" fillId="2" borderId="0" xfId="0" applyNumberFormat="1" applyFont="1" applyFill="1" applyAlignment="1"/>
    <xf numFmtId="0" fontId="26" fillId="0" borderId="0" xfId="4"/>
    <xf numFmtId="0" fontId="26" fillId="0" borderId="0" xfId="5"/>
    <xf numFmtId="0" fontId="28" fillId="0" borderId="0" xfId="5" applyFont="1"/>
    <xf numFmtId="0" fontId="28" fillId="0" borderId="0" xfId="5" applyFont="1" applyAlignment="1">
      <alignment horizontal="left"/>
    </xf>
    <xf numFmtId="0" fontId="26" fillId="0" borderId="0" xfId="4" applyAlignment="1">
      <alignment horizontal="centerContinuous"/>
    </xf>
    <xf numFmtId="0" fontId="22" fillId="0" borderId="0" xfId="5" applyFont="1"/>
    <xf numFmtId="0" fontId="27" fillId="0" borderId="2" xfId="4" applyFont="1" applyBorder="1" applyAlignment="1">
      <alignment horizontal="center"/>
    </xf>
    <xf numFmtId="0" fontId="27" fillId="0" borderId="1" xfId="4" applyFont="1" applyBorder="1" applyAlignment="1">
      <alignment horizontal="center"/>
    </xf>
    <xf numFmtId="0" fontId="27" fillId="0" borderId="3" xfId="4" applyFont="1" applyBorder="1" applyAlignment="1">
      <alignment horizontal="center"/>
    </xf>
    <xf numFmtId="0" fontId="12" fillId="0" borderId="1" xfId="4" applyFont="1" applyBorder="1"/>
    <xf numFmtId="5" fontId="27" fillId="0" borderId="0" xfId="4" applyNumberFormat="1" applyFont="1" applyBorder="1"/>
    <xf numFmtId="5" fontId="27" fillId="0" borderId="4" xfId="4" applyNumberFormat="1" applyFont="1" applyBorder="1"/>
    <xf numFmtId="0" fontId="12" fillId="0" borderId="5" xfId="4" applyFont="1" applyBorder="1"/>
    <xf numFmtId="0" fontId="12" fillId="0" borderId="3" xfId="4" applyFont="1" applyBorder="1"/>
    <xf numFmtId="0" fontId="27" fillId="0" borderId="6" xfId="4" applyFont="1" applyBorder="1" applyAlignment="1">
      <alignment horizontal="left"/>
    </xf>
    <xf numFmtId="0" fontId="12" fillId="0" borderId="0" xfId="5" applyFont="1"/>
    <xf numFmtId="0" fontId="12" fillId="0" borderId="4" xfId="5" applyFont="1" applyBorder="1"/>
    <xf numFmtId="0" fontId="12" fillId="0" borderId="6" xfId="5" applyFont="1" applyBorder="1"/>
    <xf numFmtId="0" fontId="27" fillId="0" borderId="4" xfId="5" applyFont="1" applyBorder="1"/>
    <xf numFmtId="0" fontId="27" fillId="0" borderId="4" xfId="5" applyFont="1" applyBorder="1" applyAlignment="1">
      <alignment wrapText="1"/>
    </xf>
    <xf numFmtId="0" fontId="27" fillId="0" borderId="7" xfId="5" applyFont="1" applyBorder="1"/>
    <xf numFmtId="183" fontId="27" fillId="0" borderId="0" xfId="5" applyNumberFormat="1" applyFont="1" applyBorder="1" applyAlignment="1">
      <alignment horizontal="left"/>
    </xf>
    <xf numFmtId="185" fontId="27" fillId="0" borderId="0" xfId="2" applyNumberFormat="1" applyFont="1" applyBorder="1" applyAlignment="1">
      <alignment horizontal="left"/>
    </xf>
    <xf numFmtId="177" fontId="25" fillId="0" borderId="0" xfId="0" applyNumberFormat="1" applyFont="1" applyAlignment="1">
      <alignment horizontal="centerContinuous"/>
    </xf>
    <xf numFmtId="177" fontId="34" fillId="2" borderId="8" xfId="0" applyNumberFormat="1" applyFont="1" applyFill="1" applyBorder="1" applyAlignment="1">
      <alignment horizontal="center"/>
    </xf>
    <xf numFmtId="177" fontId="34" fillId="2" borderId="4" xfId="0" applyNumberFormat="1" applyFont="1" applyFill="1" applyBorder="1" applyAlignment="1">
      <alignment horizontal="center"/>
    </xf>
    <xf numFmtId="0" fontId="0" fillId="0" borderId="0" xfId="0" applyBorder="1" applyAlignment="1">
      <alignment vertical="top" wrapText="1"/>
    </xf>
    <xf numFmtId="3" fontId="3" fillId="0" borderId="0" xfId="0" applyNumberFormat="1" applyFont="1" applyAlignment="1"/>
    <xf numFmtId="3" fontId="31" fillId="2" borderId="9" xfId="0" applyNumberFormat="1" applyFont="1" applyFill="1" applyBorder="1" applyAlignment="1">
      <alignment horizontal="left"/>
    </xf>
    <xf numFmtId="3" fontId="12" fillId="0" borderId="0" xfId="0" applyNumberFormat="1" applyFont="1" applyAlignment="1">
      <alignment horizontal="centerContinuous"/>
    </xf>
    <xf numFmtId="0" fontId="38" fillId="0" borderId="0" xfId="0" applyFont="1"/>
    <xf numFmtId="177" fontId="2" fillId="0" borderId="0" xfId="0" applyNumberFormat="1" applyFont="1" applyFill="1" applyAlignment="1"/>
    <xf numFmtId="177" fontId="2" fillId="0" borderId="10" xfId="0" applyNumberFormat="1" applyFont="1" applyBorder="1" applyAlignment="1"/>
    <xf numFmtId="177" fontId="2" fillId="0" borderId="3" xfId="0" applyNumberFormat="1" applyFont="1" applyBorder="1" applyAlignment="1"/>
    <xf numFmtId="177" fontId="1" fillId="0" borderId="10" xfId="0" applyNumberFormat="1" applyFont="1" applyBorder="1" applyAlignment="1"/>
    <xf numFmtId="177" fontId="33" fillId="0" borderId="1" xfId="0" applyNumberFormat="1" applyFont="1" applyBorder="1" applyAlignment="1">
      <alignment horizontal="left"/>
    </xf>
    <xf numFmtId="5" fontId="33" fillId="0" borderId="1" xfId="0" applyNumberFormat="1" applyFont="1" applyBorder="1" applyAlignment="1"/>
    <xf numFmtId="5" fontId="33" fillId="0" borderId="3" xfId="0" applyNumberFormat="1" applyFont="1" applyBorder="1" applyAlignment="1"/>
    <xf numFmtId="177" fontId="2" fillId="0" borderId="6" xfId="0" applyNumberFormat="1" applyFont="1" applyBorder="1" applyAlignment="1"/>
    <xf numFmtId="177" fontId="1" fillId="0" borderId="6" xfId="0" applyNumberFormat="1" applyFont="1" applyBorder="1" applyAlignment="1"/>
    <xf numFmtId="177" fontId="3" fillId="0" borderId="5" xfId="0" applyNumberFormat="1" applyFont="1" applyBorder="1" applyAlignment="1"/>
    <xf numFmtId="177" fontId="33" fillId="0" borderId="11" xfId="0" applyNumberFormat="1" applyFont="1" applyBorder="1" applyAlignment="1">
      <alignment horizontal="right"/>
    </xf>
    <xf numFmtId="177" fontId="33" fillId="0" borderId="3" xfId="0" applyNumberFormat="1" applyFont="1" applyBorder="1" applyAlignment="1"/>
    <xf numFmtId="177" fontId="2" fillId="0" borderId="5" xfId="0" applyNumberFormat="1" applyFont="1" applyFill="1" applyBorder="1" applyAlignment="1"/>
    <xf numFmtId="177" fontId="2" fillId="0" borderId="12" xfId="0" applyNumberFormat="1" applyFont="1" applyBorder="1" applyAlignment="1"/>
    <xf numFmtId="177" fontId="2" fillId="0" borderId="13" xfId="0" applyNumberFormat="1" applyFont="1" applyBorder="1" applyAlignment="1"/>
    <xf numFmtId="177" fontId="2" fillId="0" borderId="14" xfId="0" applyNumberFormat="1" applyFont="1" applyBorder="1" applyAlignment="1"/>
    <xf numFmtId="177" fontId="2" fillId="0" borderId="5" xfId="0" applyNumberFormat="1" applyFont="1" applyBorder="1" applyAlignment="1"/>
    <xf numFmtId="0" fontId="12" fillId="0" borderId="7" xfId="4" applyFont="1" applyBorder="1" applyAlignment="1">
      <alignment horizontal="center"/>
    </xf>
    <xf numFmtId="3" fontId="9" fillId="0" borderId="6" xfId="0" applyNumberFormat="1" applyFont="1" applyBorder="1" applyAlignment="1"/>
    <xf numFmtId="3" fontId="9" fillId="0" borderId="12" xfId="0" applyNumberFormat="1" applyFont="1" applyBorder="1" applyAlignment="1"/>
    <xf numFmtId="3" fontId="9" fillId="0" borderId="13" xfId="0" applyNumberFormat="1" applyFont="1" applyBorder="1" applyAlignment="1"/>
    <xf numFmtId="3" fontId="9" fillId="0" borderId="11" xfId="0" applyNumberFormat="1" applyFont="1" applyBorder="1" applyAlignment="1"/>
    <xf numFmtId="177" fontId="9" fillId="0" borderId="11" xfId="0" applyNumberFormat="1" applyFont="1" applyBorder="1" applyAlignment="1"/>
    <xf numFmtId="177" fontId="22" fillId="0" borderId="15" xfId="0" applyNumberFormat="1" applyFont="1" applyBorder="1" applyAlignment="1">
      <alignment horizontal="right"/>
    </xf>
    <xf numFmtId="3" fontId="40" fillId="0" borderId="0" xfId="0" applyNumberFormat="1" applyFont="1" applyAlignment="1">
      <alignment horizontal="centerContinuous"/>
    </xf>
    <xf numFmtId="165" fontId="22" fillId="0" borderId="3" xfId="0" applyNumberFormat="1" applyFont="1" applyBorder="1" applyAlignment="1"/>
    <xf numFmtId="177" fontId="34" fillId="2" borderId="16" xfId="0" applyNumberFormat="1" applyFont="1" applyFill="1" applyBorder="1" applyAlignment="1">
      <alignment horizontal="right"/>
    </xf>
    <xf numFmtId="177" fontId="34" fillId="2" borderId="11" xfId="0" applyNumberFormat="1" applyFont="1" applyFill="1" applyBorder="1" applyAlignment="1">
      <alignment horizontal="right"/>
    </xf>
    <xf numFmtId="177" fontId="34" fillId="2" borderId="15" xfId="0" applyNumberFormat="1" applyFont="1" applyFill="1" applyBorder="1" applyAlignment="1">
      <alignment horizontal="right"/>
    </xf>
    <xf numFmtId="177" fontId="33" fillId="0" borderId="16" xfId="0" applyNumberFormat="1" applyFont="1" applyBorder="1" applyAlignment="1">
      <alignment horizontal="right"/>
    </xf>
    <xf numFmtId="177" fontId="33" fillId="0" borderId="15" xfId="0" applyNumberFormat="1" applyFont="1" applyBorder="1" applyAlignment="1">
      <alignment horizontal="right"/>
    </xf>
    <xf numFmtId="177" fontId="31" fillId="2" borderId="6" xfId="0" applyNumberFormat="1" applyFont="1" applyFill="1" applyBorder="1" applyAlignment="1"/>
    <xf numFmtId="177" fontId="31" fillId="2" borderId="5" xfId="0" applyNumberFormat="1" applyFont="1" applyFill="1" applyBorder="1" applyAlignment="1"/>
    <xf numFmtId="177" fontId="31" fillId="2" borderId="17" xfId="0" applyNumberFormat="1" applyFont="1" applyFill="1" applyBorder="1" applyAlignment="1"/>
    <xf numFmtId="177" fontId="32" fillId="2" borderId="16" xfId="0" applyNumberFormat="1" applyFont="1" applyFill="1" applyBorder="1" applyAlignment="1"/>
    <xf numFmtId="177" fontId="32" fillId="2" borderId="11" xfId="0" applyNumberFormat="1" applyFont="1" applyFill="1" applyBorder="1" applyAlignment="1">
      <alignment horizontal="right"/>
    </xf>
    <xf numFmtId="177" fontId="32" fillId="2" borderId="16" xfId="0" applyNumberFormat="1" applyFont="1" applyFill="1" applyBorder="1" applyAlignment="1">
      <alignment horizontal="right"/>
    </xf>
    <xf numFmtId="177" fontId="32" fillId="2" borderId="15" xfId="0" applyNumberFormat="1" applyFont="1" applyFill="1" applyBorder="1" applyAlignment="1">
      <alignment horizontal="right"/>
    </xf>
    <xf numFmtId="177" fontId="41" fillId="2" borderId="0" xfId="0" applyNumberFormat="1" applyFont="1" applyFill="1" applyAlignment="1"/>
    <xf numFmtId="177" fontId="31" fillId="2" borderId="12" xfId="0" applyNumberFormat="1" applyFont="1" applyFill="1" applyBorder="1" applyAlignment="1">
      <alignment horizontal="left"/>
    </xf>
    <xf numFmtId="3" fontId="31" fillId="2" borderId="18" xfId="0" applyNumberFormat="1" applyFont="1" applyFill="1" applyBorder="1" applyAlignment="1">
      <alignment horizontal="left"/>
    </xf>
    <xf numFmtId="3" fontId="31" fillId="2" borderId="19" xfId="0" applyNumberFormat="1" applyFont="1" applyFill="1" applyBorder="1" applyAlignment="1">
      <alignment horizontal="left"/>
    </xf>
    <xf numFmtId="3" fontId="31" fillId="2" borderId="20" xfId="0" applyNumberFormat="1" applyFont="1" applyFill="1" applyBorder="1" applyAlignment="1">
      <alignment horizontal="left"/>
    </xf>
    <xf numFmtId="3" fontId="32" fillId="2" borderId="21" xfId="0" applyNumberFormat="1" applyFont="1" applyFill="1" applyBorder="1" applyAlignment="1">
      <alignment horizontal="right"/>
    </xf>
    <xf numFmtId="3" fontId="32" fillId="2" borderId="22" xfId="0" applyNumberFormat="1" applyFont="1" applyFill="1" applyBorder="1" applyAlignment="1">
      <alignment horizontal="right"/>
    </xf>
    <xf numFmtId="0" fontId="27" fillId="0" borderId="23" xfId="5" applyFont="1" applyBorder="1" applyAlignment="1">
      <alignment horizontal="left"/>
    </xf>
    <xf numFmtId="0" fontId="26" fillId="0" borderId="0" xfId="4" applyBorder="1"/>
    <xf numFmtId="3" fontId="9" fillId="0" borderId="0" xfId="0" applyNumberFormat="1" applyFont="1" applyFill="1" applyAlignment="1"/>
    <xf numFmtId="177" fontId="9" fillId="0" borderId="0" xfId="0" applyNumberFormat="1" applyFont="1" applyFill="1" applyAlignment="1"/>
    <xf numFmtId="5" fontId="34" fillId="2" borderId="13" xfId="0" applyNumberFormat="1" applyFont="1" applyFill="1" applyBorder="1" applyAlignment="1"/>
    <xf numFmtId="177" fontId="32" fillId="2" borderId="24" xfId="0" applyNumberFormat="1" applyFont="1" applyFill="1" applyBorder="1" applyAlignment="1">
      <alignment horizontal="left"/>
    </xf>
    <xf numFmtId="177" fontId="32" fillId="2" borderId="12" xfId="0" applyNumberFormat="1" applyFont="1" applyFill="1" applyBorder="1" applyAlignment="1">
      <alignment horizontal="left"/>
    </xf>
    <xf numFmtId="0" fontId="12" fillId="0" borderId="6" xfId="5" applyFont="1" applyFill="1" applyBorder="1" applyAlignment="1">
      <alignment horizontal="center"/>
    </xf>
    <xf numFmtId="0" fontId="12" fillId="0" borderId="10" xfId="5" applyFont="1" applyFill="1" applyBorder="1" applyAlignment="1">
      <alignment horizontal="center"/>
    </xf>
    <xf numFmtId="177" fontId="38" fillId="0" borderId="16" xfId="0" applyNumberFormat="1" applyFont="1" applyBorder="1" applyAlignment="1">
      <alignment horizontal="right"/>
    </xf>
    <xf numFmtId="177" fontId="38" fillId="0" borderId="11" xfId="0" applyNumberFormat="1" applyFont="1" applyBorder="1" applyAlignment="1">
      <alignment horizontal="center"/>
    </xf>
    <xf numFmtId="177" fontId="38" fillId="0" borderId="11" xfId="0" applyNumberFormat="1" applyFont="1" applyBorder="1" applyAlignment="1">
      <alignment horizontal="right"/>
    </xf>
    <xf numFmtId="177" fontId="38" fillId="0" borderId="15" xfId="0" applyNumberFormat="1" applyFont="1" applyBorder="1" applyAlignment="1">
      <alignment horizontal="right"/>
    </xf>
    <xf numFmtId="3" fontId="38" fillId="0" borderId="12" xfId="0" applyNumberFormat="1" applyFont="1" applyBorder="1" applyAlignment="1"/>
    <xf numFmtId="3" fontId="38" fillId="0" borderId="5" xfId="0" applyNumberFormat="1" applyFont="1" applyBorder="1" applyAlignment="1"/>
    <xf numFmtId="0" fontId="21" fillId="0" borderId="0" xfId="4" applyFont="1" applyAlignment="1">
      <alignment horizontal="left"/>
    </xf>
    <xf numFmtId="0" fontId="26" fillId="0" borderId="0" xfId="4" applyFont="1" applyBorder="1"/>
    <xf numFmtId="0" fontId="0" fillId="0" borderId="0" xfId="0" applyBorder="1" applyAlignment="1">
      <alignment horizontal="center"/>
    </xf>
    <xf numFmtId="0" fontId="38" fillId="0" borderId="0" xfId="5" applyFont="1" applyBorder="1" applyAlignment="1">
      <alignment horizontal="center"/>
    </xf>
    <xf numFmtId="0" fontId="38" fillId="0" borderId="0" xfId="0" applyFont="1" applyBorder="1" applyAlignment="1">
      <alignment horizontal="center"/>
    </xf>
    <xf numFmtId="0" fontId="0" fillId="0" borderId="0" xfId="0" applyAlignment="1">
      <alignment horizontal="center"/>
    </xf>
    <xf numFmtId="0" fontId="0" fillId="0" borderId="0" xfId="0" applyFill="1"/>
    <xf numFmtId="3" fontId="46" fillId="0" borderId="0" xfId="0" applyNumberFormat="1" applyFont="1" applyAlignment="1"/>
    <xf numFmtId="3" fontId="47" fillId="2" borderId="0" xfId="0" applyNumberFormat="1" applyFont="1" applyFill="1" applyAlignment="1"/>
    <xf numFmtId="3" fontId="6" fillId="2" borderId="0" xfId="0" applyNumberFormat="1" applyFont="1" applyFill="1" applyBorder="1" applyAlignment="1">
      <alignment horizontal="centerContinuous"/>
    </xf>
    <xf numFmtId="3" fontId="6" fillId="2" borderId="25" xfId="0" applyNumberFormat="1" applyFont="1" applyFill="1" applyBorder="1" applyAlignment="1">
      <alignment horizontal="centerContinuous"/>
    </xf>
    <xf numFmtId="3" fontId="32" fillId="2" borderId="26" xfId="0" applyNumberFormat="1" applyFont="1" applyFill="1" applyBorder="1" applyAlignment="1">
      <alignment horizontal="right"/>
    </xf>
    <xf numFmtId="177" fontId="31" fillId="0" borderId="12" xfId="0" applyNumberFormat="1" applyFont="1" applyFill="1" applyBorder="1" applyAlignment="1">
      <alignment horizontal="left"/>
    </xf>
    <xf numFmtId="177" fontId="32" fillId="2" borderId="27" xfId="0" applyNumberFormat="1" applyFont="1" applyFill="1" applyBorder="1" applyAlignment="1">
      <alignment horizontal="left"/>
    </xf>
    <xf numFmtId="3" fontId="32" fillId="2" borderId="28" xfId="0" applyNumberFormat="1" applyFont="1" applyFill="1" applyBorder="1" applyAlignment="1">
      <alignment horizontal="left"/>
    </xf>
    <xf numFmtId="3" fontId="32" fillId="2" borderId="29" xfId="0" applyNumberFormat="1" applyFont="1" applyFill="1" applyBorder="1" applyAlignment="1">
      <alignment horizontal="right"/>
    </xf>
    <xf numFmtId="0" fontId="12" fillId="0" borderId="30" xfId="4" applyFont="1" applyBorder="1"/>
    <xf numFmtId="3" fontId="22" fillId="0" borderId="0" xfId="0" applyNumberFormat="1" applyFont="1" applyAlignment="1">
      <alignment horizontal="centerContinuous"/>
    </xf>
    <xf numFmtId="177" fontId="22" fillId="0" borderId="0" xfId="0" applyNumberFormat="1" applyFont="1" applyAlignment="1">
      <alignment horizontal="centerContinuous"/>
    </xf>
    <xf numFmtId="0" fontId="27" fillId="0" borderId="0" xfId="5" applyFont="1"/>
    <xf numFmtId="177" fontId="10" fillId="0" borderId="0" xfId="0" applyNumberFormat="1" applyFont="1" applyFill="1" applyBorder="1" applyAlignment="1"/>
    <xf numFmtId="177" fontId="9" fillId="0" borderId="0" xfId="0" applyNumberFormat="1" applyFont="1" applyFill="1"/>
    <xf numFmtId="0" fontId="48" fillId="0" borderId="0" xfId="4" applyFont="1" applyFill="1" applyAlignment="1"/>
    <xf numFmtId="0" fontId="12" fillId="0" borderId="0" xfId="5" applyFont="1" applyFill="1" applyBorder="1" applyAlignment="1">
      <alignment horizontal="center"/>
    </xf>
    <xf numFmtId="0" fontId="12" fillId="0" borderId="0" xfId="5" applyFont="1" applyBorder="1"/>
    <xf numFmtId="183" fontId="12" fillId="0" borderId="0" xfId="1" applyNumberFormat="1" applyFont="1" applyBorder="1"/>
    <xf numFmtId="177" fontId="9" fillId="0" borderId="0" xfId="0" applyNumberFormat="1" applyFont="1" applyBorder="1" applyAlignment="1"/>
    <xf numFmtId="0" fontId="27" fillId="0" borderId="0" xfId="5" applyFont="1" applyFill="1" applyBorder="1" applyAlignment="1">
      <alignment horizontal="centerContinuous"/>
    </xf>
    <xf numFmtId="0" fontId="29" fillId="0" borderId="0" xfId="5" applyFont="1" applyFill="1" applyBorder="1" applyAlignment="1">
      <alignment horizontal="center"/>
    </xf>
    <xf numFmtId="185" fontId="27" fillId="0" borderId="0" xfId="2" applyNumberFormat="1" applyFont="1" applyBorder="1"/>
    <xf numFmtId="183" fontId="27" fillId="0" borderId="0" xfId="1" applyNumberFormat="1" applyFont="1" applyBorder="1"/>
    <xf numFmtId="0" fontId="9" fillId="0" borderId="0" xfId="0" applyFont="1"/>
    <xf numFmtId="3" fontId="18" fillId="0" borderId="11" xfId="0" applyNumberFormat="1" applyFont="1" applyBorder="1" applyAlignment="1"/>
    <xf numFmtId="0" fontId="9" fillId="0" borderId="0" xfId="5" applyFont="1"/>
    <xf numFmtId="0" fontId="12" fillId="0" borderId="5" xfId="5" applyFont="1" applyFill="1" applyBorder="1" applyAlignment="1">
      <alignment horizontal="center" wrapText="1"/>
    </xf>
    <xf numFmtId="0" fontId="12" fillId="0" borderId="3" xfId="5" applyFont="1" applyFill="1" applyBorder="1" applyAlignment="1">
      <alignment horizontal="center" wrapText="1"/>
    </xf>
    <xf numFmtId="0" fontId="12" fillId="0" borderId="2" xfId="5" applyFont="1" applyBorder="1"/>
    <xf numFmtId="0" fontId="12" fillId="0" borderId="4" xfId="0" applyFont="1" applyBorder="1"/>
    <xf numFmtId="0" fontId="12" fillId="0" borderId="4" xfId="0" applyFont="1" applyBorder="1" applyAlignment="1">
      <alignment wrapText="1"/>
    </xf>
    <xf numFmtId="0" fontId="50" fillId="0" borderId="0" xfId="0" applyFont="1"/>
    <xf numFmtId="177" fontId="10" fillId="0" borderId="0" xfId="0" applyNumberFormat="1" applyFont="1" applyFill="1" applyBorder="1" applyAlignment="1">
      <alignment horizontal="left"/>
    </xf>
    <xf numFmtId="0" fontId="0" fillId="0" borderId="0" xfId="0" applyFill="1" applyBorder="1"/>
    <xf numFmtId="3" fontId="22" fillId="0" borderId="31" xfId="0" applyNumberFormat="1" applyFont="1" applyBorder="1" applyAlignment="1"/>
    <xf numFmtId="0" fontId="0" fillId="0" borderId="32" xfId="0" applyBorder="1" applyAlignment="1"/>
    <xf numFmtId="0" fontId="51" fillId="0" borderId="0" xfId="0" applyFont="1" applyBorder="1" applyAlignment="1">
      <alignment horizontal="center" vertical="top" wrapText="1"/>
    </xf>
    <xf numFmtId="177" fontId="53" fillId="0" borderId="0" xfId="0" applyNumberFormat="1" applyFont="1"/>
    <xf numFmtId="0" fontId="53" fillId="0" borderId="0" xfId="0" applyFont="1"/>
    <xf numFmtId="177" fontId="56" fillId="0" borderId="0" xfId="0" applyNumberFormat="1" applyFont="1" applyAlignment="1"/>
    <xf numFmtId="0" fontId="58" fillId="0" borderId="0" xfId="5" applyFont="1"/>
    <xf numFmtId="0" fontId="0" fillId="0" borderId="0" xfId="0" applyAlignment="1"/>
    <xf numFmtId="206" fontId="34" fillId="2" borderId="12" xfId="0" applyNumberFormat="1" applyFont="1" applyFill="1" applyBorder="1" applyAlignment="1"/>
    <xf numFmtId="0" fontId="61" fillId="0" borderId="0" xfId="0" applyFont="1"/>
    <xf numFmtId="177" fontId="60" fillId="0" borderId="0" xfId="0" applyNumberFormat="1" applyFont="1"/>
    <xf numFmtId="177" fontId="37" fillId="0" borderId="0" xfId="0" applyNumberFormat="1" applyFont="1"/>
    <xf numFmtId="177" fontId="60" fillId="0" borderId="0" xfId="0" applyNumberFormat="1" applyFont="1" applyAlignment="1"/>
    <xf numFmtId="177" fontId="37" fillId="0" borderId="0" xfId="0" applyNumberFormat="1" applyFont="1" applyAlignment="1"/>
    <xf numFmtId="3" fontId="60" fillId="2" borderId="0" xfId="0" applyNumberFormat="1" applyFont="1" applyFill="1" applyAlignment="1"/>
    <xf numFmtId="3" fontId="64" fillId="2" borderId="0" xfId="0" applyNumberFormat="1" applyFont="1" applyFill="1" applyAlignment="1"/>
    <xf numFmtId="3" fontId="64" fillId="2" borderId="0" xfId="0" applyNumberFormat="1" applyFont="1" applyFill="1" applyBorder="1" applyAlignment="1"/>
    <xf numFmtId="0" fontId="37" fillId="0" borderId="0" xfId="0" applyFont="1"/>
    <xf numFmtId="177" fontId="61" fillId="0" borderId="0" xfId="0" applyNumberFormat="1" applyFont="1"/>
    <xf numFmtId="177" fontId="61" fillId="0" borderId="0" xfId="0" applyNumberFormat="1" applyFont="1" applyBorder="1"/>
    <xf numFmtId="177" fontId="65" fillId="0" borderId="0" xfId="0" applyNumberFormat="1" applyFont="1" applyAlignment="1"/>
    <xf numFmtId="177" fontId="66" fillId="0" borderId="0" xfId="0" applyNumberFormat="1" applyFont="1" applyAlignment="1"/>
    <xf numFmtId="0" fontId="63" fillId="0" borderId="0" xfId="0" applyFont="1"/>
    <xf numFmtId="3" fontId="63" fillId="0" borderId="0" xfId="0" applyNumberFormat="1" applyFont="1" applyAlignment="1"/>
    <xf numFmtId="3" fontId="62" fillId="0" borderId="0" xfId="0" applyNumberFormat="1" applyFont="1" applyAlignment="1"/>
    <xf numFmtId="0" fontId="61" fillId="0" borderId="0" xfId="4" applyFont="1"/>
    <xf numFmtId="0" fontId="50" fillId="0" borderId="0" xfId="4" applyFont="1"/>
    <xf numFmtId="177" fontId="69" fillId="0" borderId="0" xfId="0" applyNumberFormat="1" applyFont="1" applyAlignment="1"/>
    <xf numFmtId="177" fontId="22" fillId="0" borderId="0" xfId="0" applyNumberFormat="1" applyFont="1" applyAlignment="1"/>
    <xf numFmtId="37" fontId="0" fillId="0" borderId="33" xfId="0" applyNumberFormat="1" applyBorder="1" applyAlignment="1"/>
    <xf numFmtId="37" fontId="9" fillId="0" borderId="34" xfId="0" applyNumberFormat="1" applyFont="1" applyBorder="1" applyAlignment="1"/>
    <xf numFmtId="37" fontId="9" fillId="0" borderId="14" xfId="0" applyNumberFormat="1" applyFont="1" applyBorder="1" applyAlignment="1"/>
    <xf numFmtId="37" fontId="9" fillId="0" borderId="35" xfId="0" applyNumberFormat="1" applyFont="1" applyBorder="1" applyAlignment="1"/>
    <xf numFmtId="37" fontId="9" fillId="0" borderId="33" xfId="0" applyNumberFormat="1" applyFont="1" applyBorder="1" applyAlignment="1"/>
    <xf numFmtId="37" fontId="22" fillId="0" borderId="36" xfId="0" applyNumberFormat="1" applyFont="1" applyBorder="1" applyAlignment="1"/>
    <xf numFmtId="37" fontId="22" fillId="0" borderId="37" xfId="0" applyNumberFormat="1" applyFont="1" applyBorder="1" applyAlignment="1"/>
    <xf numFmtId="37" fontId="22" fillId="0" borderId="38" xfId="0" applyNumberFormat="1" applyFont="1" applyBorder="1" applyAlignment="1"/>
    <xf numFmtId="37" fontId="9" fillId="0" borderId="7" xfId="0" applyNumberFormat="1" applyFont="1" applyBorder="1" applyAlignment="1"/>
    <xf numFmtId="37" fontId="9" fillId="0" borderId="3" xfId="0" applyNumberFormat="1" applyFont="1" applyBorder="1" applyAlignment="1"/>
    <xf numFmtId="37" fontId="9" fillId="0" borderId="39" xfId="0" applyNumberFormat="1" applyFont="1" applyBorder="1" applyAlignment="1"/>
    <xf numFmtId="37" fontId="22" fillId="0" borderId="7" xfId="0" applyNumberFormat="1" applyFont="1" applyBorder="1" applyAlignment="1"/>
    <xf numFmtId="5" fontId="22" fillId="0" borderId="7" xfId="0" applyNumberFormat="1" applyFont="1" applyBorder="1" applyAlignment="1"/>
    <xf numFmtId="3" fontId="45" fillId="0" borderId="5" xfId="0" applyNumberFormat="1" applyFont="1" applyBorder="1" applyAlignment="1"/>
    <xf numFmtId="37" fontId="9" fillId="0" borderId="40" xfId="0" applyNumberFormat="1" applyFont="1" applyBorder="1"/>
    <xf numFmtId="37" fontId="9" fillId="0" borderId="13" xfId="0" applyNumberFormat="1" applyFont="1" applyBorder="1"/>
    <xf numFmtId="37" fontId="27" fillId="0" borderId="6" xfId="4" applyNumberFormat="1" applyFont="1" applyBorder="1"/>
    <xf numFmtId="37" fontId="27" fillId="0" borderId="0" xfId="4" applyNumberFormat="1" applyFont="1" applyBorder="1"/>
    <xf numFmtId="37" fontId="12" fillId="0" borderId="6" xfId="5" applyNumberFormat="1" applyFont="1" applyBorder="1"/>
    <xf numFmtId="37" fontId="12" fillId="0" borderId="10" xfId="5" applyNumberFormat="1" applyFont="1" applyBorder="1"/>
    <xf numFmtId="37" fontId="12" fillId="0" borderId="0" xfId="5" applyNumberFormat="1" applyFont="1" applyBorder="1"/>
    <xf numFmtId="37" fontId="12" fillId="0" borderId="6" xfId="5" applyNumberFormat="1" applyFont="1" applyBorder="1" applyAlignment="1"/>
    <xf numFmtId="37" fontId="12" fillId="0" borderId="10" xfId="5" applyNumberFormat="1" applyFont="1" applyBorder="1" applyAlignment="1"/>
    <xf numFmtId="37" fontId="12" fillId="0" borderId="5" xfId="1" applyNumberFormat="1" applyFont="1" applyBorder="1"/>
    <xf numFmtId="37" fontId="12" fillId="0" borderId="3" xfId="1" applyNumberFormat="1" applyFont="1" applyBorder="1"/>
    <xf numFmtId="37" fontId="12" fillId="0" borderId="1" xfId="1" applyNumberFormat="1" applyFont="1" applyBorder="1"/>
    <xf numFmtId="37" fontId="12" fillId="0" borderId="3" xfId="5" applyNumberFormat="1" applyFont="1" applyBorder="1"/>
    <xf numFmtId="37" fontId="27" fillId="0" borderId="5" xfId="1" applyNumberFormat="1" applyFont="1" applyBorder="1"/>
    <xf numFmtId="37" fontId="27" fillId="0" borderId="3" xfId="1" applyNumberFormat="1" applyFont="1" applyBorder="1"/>
    <xf numFmtId="37" fontId="27" fillId="0" borderId="24" xfId="1" applyNumberFormat="1" applyFont="1" applyBorder="1"/>
    <xf numFmtId="37" fontId="27" fillId="0" borderId="1" xfId="1" applyNumberFormat="1" applyFont="1" applyBorder="1"/>
    <xf numFmtId="37" fontId="2" fillId="0" borderId="12" xfId="0" applyNumberFormat="1" applyFont="1" applyBorder="1" applyAlignment="1"/>
    <xf numFmtId="37" fontId="2" fillId="0" borderId="13" xfId="0" applyNumberFormat="1" applyFont="1" applyBorder="1" applyAlignment="1"/>
    <xf numFmtId="37" fontId="2" fillId="0" borderId="14" xfId="0" applyNumberFormat="1" applyFont="1" applyBorder="1" applyAlignment="1"/>
    <xf numFmtId="37" fontId="2" fillId="0" borderId="5" xfId="0" applyNumberFormat="1" applyFont="1" applyFill="1" applyBorder="1" applyAlignment="1"/>
    <xf numFmtId="37" fontId="2" fillId="0" borderId="1" xfId="0" applyNumberFormat="1" applyFont="1" applyFill="1" applyBorder="1" applyAlignment="1"/>
    <xf numFmtId="37" fontId="2" fillId="0" borderId="3" xfId="0" applyNumberFormat="1" applyFont="1" applyFill="1" applyBorder="1" applyAlignment="1"/>
    <xf numFmtId="37" fontId="33" fillId="0" borderId="5" xfId="0" applyNumberFormat="1" applyFont="1" applyBorder="1" applyAlignment="1"/>
    <xf numFmtId="37" fontId="33" fillId="0" borderId="1" xfId="0" applyNumberFormat="1" applyFont="1" applyBorder="1" applyAlignment="1"/>
    <xf numFmtId="37" fontId="2" fillId="0" borderId="5" xfId="0" applyNumberFormat="1" applyFont="1" applyBorder="1" applyAlignment="1"/>
    <xf numFmtId="37" fontId="2" fillId="0" borderId="1" xfId="0" applyNumberFormat="1" applyFont="1" applyBorder="1" applyAlignment="1"/>
    <xf numFmtId="5" fontId="2" fillId="0" borderId="1" xfId="0" applyNumberFormat="1" applyFont="1" applyBorder="1" applyAlignment="1"/>
    <xf numFmtId="5" fontId="2" fillId="0" borderId="3" xfId="0" applyNumberFormat="1" applyFont="1" applyBorder="1" applyAlignment="1"/>
    <xf numFmtId="37" fontId="12" fillId="0" borderId="14" xfId="0" applyNumberFormat="1" applyFont="1" applyBorder="1"/>
    <xf numFmtId="37" fontId="10" fillId="2" borderId="14" xfId="0" applyNumberFormat="1" applyFont="1" applyFill="1" applyBorder="1" applyAlignment="1"/>
    <xf numFmtId="37" fontId="31" fillId="2" borderId="18" xfId="0" applyNumberFormat="1" applyFont="1" applyFill="1" applyBorder="1" applyAlignment="1"/>
    <xf numFmtId="37" fontId="31" fillId="2" borderId="41" xfId="0" applyNumberFormat="1" applyFont="1" applyFill="1" applyBorder="1" applyAlignment="1"/>
    <xf numFmtId="37" fontId="31" fillId="2" borderId="42" xfId="0" applyNumberFormat="1" applyFont="1" applyFill="1" applyBorder="1" applyAlignment="1"/>
    <xf numFmtId="37" fontId="31" fillId="2" borderId="43" xfId="0" applyNumberFormat="1" applyFont="1" applyFill="1" applyBorder="1" applyAlignment="1"/>
    <xf numFmtId="37" fontId="31" fillId="2" borderId="44" xfId="0" applyNumberFormat="1" applyFont="1" applyFill="1" applyBorder="1" applyAlignment="1"/>
    <xf numFmtId="37" fontId="31" fillId="2" borderId="45" xfId="0" applyNumberFormat="1" applyFont="1" applyFill="1" applyBorder="1" applyAlignment="1"/>
    <xf numFmtId="37" fontId="31" fillId="2" borderId="9" xfId="0" applyNumberFormat="1" applyFont="1" applyFill="1" applyBorder="1" applyAlignment="1"/>
    <xf numFmtId="37" fontId="31" fillId="2" borderId="46" xfId="0" applyNumberFormat="1" applyFont="1" applyFill="1" applyBorder="1" applyAlignment="1"/>
    <xf numFmtId="37" fontId="31" fillId="2" borderId="47" xfId="0" applyNumberFormat="1" applyFont="1" applyFill="1" applyBorder="1" applyAlignment="1"/>
    <xf numFmtId="37" fontId="31" fillId="2" borderId="48" xfId="0" applyNumberFormat="1" applyFont="1" applyFill="1" applyBorder="1" applyAlignment="1"/>
    <xf numFmtId="37" fontId="31" fillId="2" borderId="49" xfId="0" applyNumberFormat="1" applyFont="1" applyFill="1" applyBorder="1" applyAlignment="1"/>
    <xf numFmtId="37" fontId="31" fillId="2" borderId="50" xfId="0" applyNumberFormat="1" applyFont="1" applyFill="1" applyBorder="1" applyAlignment="1"/>
    <xf numFmtId="37" fontId="31" fillId="2" borderId="51" xfId="0" applyNumberFormat="1" applyFont="1" applyFill="1" applyBorder="1" applyAlignment="1"/>
    <xf numFmtId="37" fontId="31" fillId="2" borderId="0" xfId="0" applyNumberFormat="1" applyFont="1" applyFill="1" applyBorder="1" applyAlignment="1"/>
    <xf numFmtId="37" fontId="31" fillId="2" borderId="52" xfId="0" applyNumberFormat="1" applyFont="1" applyFill="1" applyBorder="1" applyAlignment="1"/>
    <xf numFmtId="37" fontId="31" fillId="2" borderId="53" xfId="0" applyNumberFormat="1" applyFont="1" applyFill="1" applyBorder="1" applyAlignment="1"/>
    <xf numFmtId="37" fontId="31" fillId="2" borderId="54" xfId="0" applyNumberFormat="1" applyFont="1" applyFill="1" applyBorder="1" applyAlignment="1"/>
    <xf numFmtId="37" fontId="31" fillId="2" borderId="55" xfId="0" applyNumberFormat="1" applyFont="1" applyFill="1" applyBorder="1" applyAlignment="1"/>
    <xf numFmtId="37" fontId="31" fillId="2" borderId="0" xfId="0" applyNumberFormat="1" applyFont="1" applyFill="1" applyAlignment="1"/>
    <xf numFmtId="37" fontId="31" fillId="2" borderId="56" xfId="0" applyNumberFormat="1" applyFont="1" applyFill="1" applyBorder="1" applyAlignment="1"/>
    <xf numFmtId="37" fontId="31" fillId="2" borderId="57" xfId="0" applyNumberFormat="1" applyFont="1" applyFill="1" applyBorder="1" applyAlignment="1"/>
    <xf numFmtId="37" fontId="31" fillId="2" borderId="12" xfId="0" applyNumberFormat="1" applyFont="1" applyFill="1" applyBorder="1" applyAlignment="1"/>
    <xf numFmtId="37" fontId="31" fillId="2" borderId="13" xfId="0" applyNumberFormat="1" applyFont="1" applyFill="1" applyBorder="1" applyAlignment="1"/>
    <xf numFmtId="37" fontId="31" fillId="2" borderId="14" xfId="0" applyNumberFormat="1" applyFont="1" applyFill="1" applyBorder="1" applyAlignment="1"/>
    <xf numFmtId="37" fontId="31" fillId="2" borderId="5" xfId="0" applyNumberFormat="1" applyFont="1" applyFill="1" applyBorder="1" applyAlignment="1"/>
    <xf numFmtId="37" fontId="31" fillId="2" borderId="1" xfId="0" applyNumberFormat="1" applyFont="1" applyFill="1" applyBorder="1" applyAlignment="1"/>
    <xf numFmtId="37" fontId="31" fillId="2" borderId="3" xfId="0" applyNumberFormat="1" applyFont="1" applyFill="1" applyBorder="1" applyAlignment="1"/>
    <xf numFmtId="37" fontId="32" fillId="2" borderId="24" xfId="0" applyNumberFormat="1" applyFont="1" applyFill="1" applyBorder="1" applyAlignment="1"/>
    <xf numFmtId="4" fontId="31" fillId="2" borderId="12" xfId="0" applyNumberFormat="1" applyFont="1" applyFill="1" applyBorder="1" applyAlignment="1"/>
    <xf numFmtId="4" fontId="31" fillId="2" borderId="12" xfId="0" applyNumberFormat="1" applyFont="1" applyFill="1" applyBorder="1" applyAlignment="1">
      <alignment horizontal="right"/>
    </xf>
    <xf numFmtId="4" fontId="31" fillId="2" borderId="27" xfId="0" applyNumberFormat="1" applyFont="1" applyFill="1" applyBorder="1" applyAlignment="1">
      <alignment horizontal="right"/>
    </xf>
    <xf numFmtId="4" fontId="31" fillId="2" borderId="27" xfId="0" applyNumberFormat="1" applyFont="1" applyFill="1" applyBorder="1" applyAlignment="1"/>
    <xf numFmtId="4" fontId="31" fillId="2" borderId="14" xfId="0" applyNumberFormat="1" applyFont="1" applyFill="1" applyBorder="1" applyAlignment="1"/>
    <xf numFmtId="4" fontId="31" fillId="2" borderId="58" xfId="0" applyNumberFormat="1" applyFont="1" applyFill="1" applyBorder="1" applyAlignment="1"/>
    <xf numFmtId="37" fontId="10" fillId="2" borderId="12" xfId="0" applyNumberFormat="1" applyFont="1" applyFill="1" applyBorder="1" applyAlignment="1"/>
    <xf numFmtId="37" fontId="10" fillId="2" borderId="13" xfId="0" applyNumberFormat="1" applyFont="1" applyFill="1" applyBorder="1" applyAlignment="1"/>
    <xf numFmtId="37" fontId="10" fillId="0" borderId="12" xfId="0" applyNumberFormat="1" applyFont="1" applyFill="1" applyBorder="1" applyAlignment="1"/>
    <xf numFmtId="37" fontId="11" fillId="2" borderId="12" xfId="0" applyNumberFormat="1" applyFont="1" applyFill="1" applyBorder="1" applyAlignment="1"/>
    <xf numFmtId="37" fontId="11" fillId="2" borderId="13" xfId="0" applyNumberFormat="1" applyFont="1" applyFill="1" applyBorder="1" applyAlignment="1"/>
    <xf numFmtId="37" fontId="10" fillId="2" borderId="6" xfId="0" applyNumberFormat="1" applyFont="1" applyFill="1" applyBorder="1" applyAlignment="1"/>
    <xf numFmtId="37" fontId="10" fillId="2" borderId="0" xfId="0" applyNumberFormat="1" applyFont="1" applyFill="1" applyBorder="1" applyAlignment="1"/>
    <xf numFmtId="37" fontId="10" fillId="2" borderId="24" xfId="0" applyNumberFormat="1" applyFont="1" applyFill="1" applyBorder="1" applyAlignment="1"/>
    <xf numFmtId="37" fontId="10" fillId="2" borderId="59" xfId="0" applyNumberFormat="1" applyFont="1" applyFill="1" applyBorder="1" applyAlignment="1"/>
    <xf numFmtId="37" fontId="10" fillId="2" borderId="60" xfId="0" applyNumberFormat="1" applyFont="1" applyFill="1" applyBorder="1" applyAlignment="1"/>
    <xf numFmtId="37" fontId="34" fillId="0" borderId="27" xfId="0" applyNumberFormat="1" applyFont="1" applyFill="1" applyBorder="1" applyAlignment="1"/>
    <xf numFmtId="37" fontId="34" fillId="0" borderId="61" xfId="0" applyNumberFormat="1" applyFont="1" applyFill="1" applyBorder="1" applyAlignment="1"/>
    <xf numFmtId="37" fontId="34" fillId="0" borderId="58" xfId="0" applyNumberFormat="1" applyFont="1" applyFill="1" applyBorder="1" applyAlignment="1"/>
    <xf numFmtId="5" fontId="45" fillId="0" borderId="1" xfId="0" applyNumberFormat="1" applyFont="1" applyBorder="1" applyAlignment="1"/>
    <xf numFmtId="37" fontId="38" fillId="0" borderId="12" xfId="0" applyNumberFormat="1" applyFont="1" applyBorder="1" applyAlignment="1"/>
    <xf numFmtId="37" fontId="38" fillId="0" borderId="13" xfId="0" applyNumberFormat="1" applyFont="1" applyBorder="1" applyAlignment="1"/>
    <xf numFmtId="37" fontId="38" fillId="0" borderId="14" xfId="0" applyNumberFormat="1" applyFont="1" applyBorder="1" applyAlignment="1"/>
    <xf numFmtId="37" fontId="38" fillId="0" borderId="5" xfId="0" applyNumberFormat="1" applyFont="1" applyBorder="1" applyAlignment="1"/>
    <xf numFmtId="37" fontId="38" fillId="0" borderId="1" xfId="0" applyNumberFormat="1" applyFont="1" applyBorder="1" applyAlignment="1"/>
    <xf numFmtId="37" fontId="38" fillId="0" borderId="3" xfId="0" applyNumberFormat="1" applyFont="1" applyBorder="1" applyAlignment="1"/>
    <xf numFmtId="37" fontId="45" fillId="0" borderId="5" xfId="0" applyNumberFormat="1" applyFont="1" applyBorder="1" applyAlignment="1"/>
    <xf numFmtId="5" fontId="45" fillId="0" borderId="3" xfId="0" applyNumberFormat="1" applyFont="1" applyBorder="1" applyAlignment="1"/>
    <xf numFmtId="37" fontId="12" fillId="0" borderId="10" xfId="2" applyNumberFormat="1" applyFont="1" applyBorder="1"/>
    <xf numFmtId="37" fontId="12" fillId="0" borderId="10" xfId="1" applyNumberFormat="1" applyFont="1" applyBorder="1"/>
    <xf numFmtId="37" fontId="12" fillId="0" borderId="17" xfId="5" applyNumberFormat="1" applyFont="1" applyBorder="1"/>
    <xf numFmtId="0" fontId="12" fillId="0" borderId="0" xfId="5" applyNumberFormat="1" applyFont="1"/>
    <xf numFmtId="37" fontId="12" fillId="0" borderId="62" xfId="5" applyNumberFormat="1" applyFont="1" applyBorder="1"/>
    <xf numFmtId="3" fontId="9" fillId="0" borderId="24" xfId="0" applyNumberFormat="1" applyFont="1" applyBorder="1" applyAlignment="1"/>
    <xf numFmtId="0" fontId="27" fillId="0" borderId="63" xfId="4" applyFont="1" applyBorder="1"/>
    <xf numFmtId="0" fontId="26" fillId="0" borderId="59" xfId="4" applyBorder="1"/>
    <xf numFmtId="37" fontId="27" fillId="0" borderId="24" xfId="4" applyNumberFormat="1" applyFont="1" applyBorder="1"/>
    <xf numFmtId="37" fontId="27" fillId="0" borderId="59" xfId="4" applyNumberFormat="1" applyFont="1" applyBorder="1"/>
    <xf numFmtId="5" fontId="27" fillId="0" borderId="59" xfId="4" applyNumberFormat="1" applyFont="1" applyBorder="1"/>
    <xf numFmtId="5" fontId="27" fillId="0" borderId="63" xfId="4" applyNumberFormat="1" applyFont="1" applyBorder="1"/>
    <xf numFmtId="177" fontId="34" fillId="2" borderId="9" xfId="0" applyNumberFormat="1" applyFont="1" applyFill="1" applyBorder="1" applyAlignment="1">
      <alignment horizontal="center" wrapText="1"/>
    </xf>
    <xf numFmtId="0" fontId="0" fillId="0" borderId="64" xfId="0" applyBorder="1" applyAlignment="1">
      <alignment wrapText="1"/>
    </xf>
    <xf numFmtId="0" fontId="56" fillId="0" borderId="0" xfId="0" applyFont="1"/>
    <xf numFmtId="177" fontId="22" fillId="0" borderId="16" xfId="0" applyNumberFormat="1" applyFont="1" applyBorder="1" applyAlignment="1">
      <alignment horizontal="right"/>
    </xf>
    <xf numFmtId="177" fontId="22" fillId="0" borderId="11" xfId="0" applyNumberFormat="1" applyFont="1" applyBorder="1" applyAlignment="1">
      <alignment horizontal="right"/>
    </xf>
    <xf numFmtId="3" fontId="9" fillId="0" borderId="14" xfId="0" applyNumberFormat="1" applyFont="1" applyBorder="1" applyAlignment="1"/>
    <xf numFmtId="177" fontId="9" fillId="0" borderId="1" xfId="0" applyNumberFormat="1" applyFont="1" applyBorder="1" applyAlignment="1"/>
    <xf numFmtId="3" fontId="9" fillId="0" borderId="5" xfId="0" applyNumberFormat="1" applyFont="1" applyFill="1" applyBorder="1" applyAlignment="1"/>
    <xf numFmtId="3" fontId="9" fillId="0" borderId="1" xfId="0" applyNumberFormat="1" applyFont="1" applyFill="1" applyBorder="1" applyAlignment="1"/>
    <xf numFmtId="177" fontId="9" fillId="0" borderId="6" xfId="0" applyNumberFormat="1" applyFont="1" applyBorder="1" applyAlignment="1"/>
    <xf numFmtId="3" fontId="9" fillId="0" borderId="10" xfId="0" applyNumberFormat="1" applyFont="1" applyBorder="1" applyAlignment="1"/>
    <xf numFmtId="3" fontId="22" fillId="0" borderId="5" xfId="0" applyNumberFormat="1" applyFont="1" applyBorder="1" applyAlignment="1"/>
    <xf numFmtId="3" fontId="22" fillId="0" borderId="1" xfId="0" applyNumberFormat="1" applyFont="1" applyBorder="1" applyAlignment="1"/>
    <xf numFmtId="3" fontId="9" fillId="0" borderId="5" xfId="0" applyNumberFormat="1" applyFont="1" applyBorder="1" applyAlignment="1"/>
    <xf numFmtId="3" fontId="9" fillId="0" borderId="1" xfId="0" applyNumberFormat="1" applyFont="1" applyBorder="1" applyAlignment="1"/>
    <xf numFmtId="3" fontId="9" fillId="0" borderId="3" xfId="0" applyNumberFormat="1" applyFont="1" applyBorder="1" applyAlignment="1"/>
    <xf numFmtId="3" fontId="9" fillId="0" borderId="59" xfId="0" applyNumberFormat="1" applyFont="1" applyBorder="1" applyAlignment="1"/>
    <xf numFmtId="3" fontId="9" fillId="0" borderId="60" xfId="0" applyNumberFormat="1" applyFont="1" applyBorder="1" applyAlignment="1"/>
    <xf numFmtId="0" fontId="23" fillId="0" borderId="0" xfId="0" applyFont="1"/>
    <xf numFmtId="0" fontId="26" fillId="0" borderId="0" xfId="3"/>
    <xf numFmtId="0" fontId="20" fillId="2" borderId="0" xfId="6" applyFont="1" applyFill="1" applyAlignment="1">
      <alignment horizontal="center"/>
    </xf>
    <xf numFmtId="0" fontId="21" fillId="2" borderId="0" xfId="6" applyFont="1" applyFill="1"/>
    <xf numFmtId="0" fontId="19" fillId="2" borderId="0" xfId="6" applyFont="1" applyFill="1"/>
    <xf numFmtId="0" fontId="73" fillId="2" borderId="0" xfId="6" applyFont="1" applyFill="1" applyAlignment="1">
      <alignment horizontal="center"/>
    </xf>
    <xf numFmtId="0" fontId="20" fillId="2" borderId="0" xfId="6" applyFont="1" applyFill="1" applyAlignment="1">
      <alignment wrapText="1"/>
    </xf>
    <xf numFmtId="0" fontId="44" fillId="0" borderId="0" xfId="0" applyFont="1" applyBorder="1" applyAlignment="1">
      <alignment vertical="top" wrapText="1"/>
    </xf>
    <xf numFmtId="0" fontId="61" fillId="0" borderId="0" xfId="0" applyFont="1" applyAlignment="1">
      <alignment vertical="top"/>
    </xf>
    <xf numFmtId="0" fontId="38" fillId="0" borderId="0" xfId="0" applyFont="1" applyBorder="1" applyAlignment="1">
      <alignment vertical="top" wrapText="1"/>
    </xf>
    <xf numFmtId="0" fontId="0" fillId="0" borderId="0" xfId="0" applyAlignment="1">
      <alignment vertical="top"/>
    </xf>
    <xf numFmtId="0" fontId="38" fillId="0" borderId="0" xfId="0" applyFont="1" applyAlignment="1">
      <alignment vertical="top"/>
    </xf>
    <xf numFmtId="0" fontId="38" fillId="0" borderId="0" xfId="0" applyFont="1" applyBorder="1" applyAlignment="1">
      <alignment horizontal="center" vertical="top" wrapText="1"/>
    </xf>
    <xf numFmtId="0" fontId="38" fillId="3" borderId="0" xfId="0" applyFont="1" applyFill="1" applyAlignment="1">
      <alignment vertical="top"/>
    </xf>
    <xf numFmtId="0" fontId="38" fillId="0" borderId="0" xfId="0" applyFont="1" applyBorder="1" applyAlignment="1">
      <alignment vertical="top"/>
    </xf>
    <xf numFmtId="0" fontId="38" fillId="0" borderId="1" xfId="0" applyFont="1" applyBorder="1" applyAlignment="1">
      <alignment vertical="top"/>
    </xf>
    <xf numFmtId="0" fontId="54" fillId="0" borderId="0" xfId="0" applyFont="1" applyBorder="1" applyAlignment="1">
      <alignment horizontal="center" vertical="top"/>
    </xf>
    <xf numFmtId="0" fontId="63" fillId="0" borderId="0" xfId="0" applyFont="1" applyAlignment="1">
      <alignment vertical="top"/>
    </xf>
    <xf numFmtId="206" fontId="32" fillId="2" borderId="65" xfId="0" applyNumberFormat="1" applyFont="1" applyFill="1" applyBorder="1" applyAlignment="1"/>
    <xf numFmtId="5" fontId="32" fillId="2" borderId="66" xfId="0" applyNumberFormat="1" applyFont="1" applyFill="1" applyBorder="1" applyAlignment="1"/>
    <xf numFmtId="5" fontId="32" fillId="2" borderId="67" xfId="0" applyNumberFormat="1" applyFont="1" applyFill="1" applyBorder="1" applyAlignment="1"/>
    <xf numFmtId="37" fontId="32" fillId="2" borderId="67" xfId="0" applyNumberFormat="1" applyFont="1" applyFill="1" applyBorder="1" applyAlignment="1"/>
    <xf numFmtId="37" fontId="32" fillId="2" borderId="65" xfId="0" applyNumberFormat="1" applyFont="1" applyFill="1" applyBorder="1" applyAlignment="1"/>
    <xf numFmtId="5" fontId="32" fillId="2" borderId="68" xfId="0" applyNumberFormat="1" applyFont="1" applyFill="1" applyBorder="1" applyAlignment="1"/>
    <xf numFmtId="37" fontId="10" fillId="2" borderId="69" xfId="0" applyNumberFormat="1" applyFont="1" applyFill="1" applyBorder="1" applyAlignment="1"/>
    <xf numFmtId="37" fontId="10" fillId="2" borderId="70" xfId="0" applyNumberFormat="1" applyFont="1" applyFill="1" applyBorder="1" applyAlignment="1"/>
    <xf numFmtId="37" fontId="10" fillId="0" borderId="69" xfId="0" applyNumberFormat="1" applyFont="1" applyFill="1" applyBorder="1" applyAlignment="1"/>
    <xf numFmtId="37" fontId="10" fillId="2" borderId="71" xfId="0" applyNumberFormat="1" applyFont="1" applyFill="1" applyBorder="1" applyAlignment="1"/>
    <xf numFmtId="37" fontId="22" fillId="0" borderId="72" xfId="0" applyNumberFormat="1" applyFont="1" applyBorder="1" applyAlignment="1"/>
    <xf numFmtId="37" fontId="22" fillId="0" borderId="72" xfId="0" applyNumberFormat="1" applyFont="1" applyBorder="1" applyAlignment="1">
      <alignment horizontal="right"/>
    </xf>
    <xf numFmtId="3" fontId="45" fillId="0" borderId="1" xfId="0" applyNumberFormat="1" applyFont="1" applyBorder="1" applyAlignment="1">
      <alignment horizontal="center"/>
    </xf>
    <xf numFmtId="37" fontId="32" fillId="2" borderId="59" xfId="0" applyNumberFormat="1" applyFont="1" applyFill="1" applyBorder="1" applyAlignment="1"/>
    <xf numFmtId="37" fontId="32" fillId="2" borderId="60" xfId="0" applyNumberFormat="1" applyFont="1" applyFill="1" applyBorder="1" applyAlignment="1"/>
    <xf numFmtId="0" fontId="49" fillId="0" borderId="0" xfId="0" applyFont="1" applyBorder="1" applyAlignment="1">
      <alignment vertical="top" wrapText="1"/>
    </xf>
    <xf numFmtId="0" fontId="14" fillId="0" borderId="0" xfId="0" applyFont="1" applyBorder="1" applyAlignment="1">
      <alignment vertical="top" wrapText="1"/>
    </xf>
    <xf numFmtId="0" fontId="9" fillId="2" borderId="0" xfId="6" applyFont="1" applyFill="1" applyAlignment="1">
      <alignment wrapText="1"/>
    </xf>
    <xf numFmtId="38" fontId="38" fillId="0" borderId="0" xfId="0" applyNumberFormat="1" applyFont="1" applyBorder="1" applyAlignment="1">
      <alignment vertical="top"/>
    </xf>
    <xf numFmtId="38" fontId="38" fillId="0" borderId="1" xfId="0" applyNumberFormat="1" applyFont="1" applyBorder="1" applyAlignment="1">
      <alignment vertical="top"/>
    </xf>
    <xf numFmtId="38" fontId="38" fillId="0" borderId="0" xfId="0" applyNumberFormat="1" applyFont="1" applyAlignment="1">
      <alignment vertical="top"/>
    </xf>
    <xf numFmtId="0" fontId="9" fillId="2" borderId="0" xfId="6" applyFont="1" applyFill="1" applyAlignment="1">
      <alignment horizontal="left" wrapText="1"/>
    </xf>
    <xf numFmtId="37" fontId="9" fillId="0" borderId="33" xfId="0" applyNumberFormat="1" applyFont="1" applyFill="1" applyBorder="1" applyAlignment="1"/>
    <xf numFmtId="3" fontId="38" fillId="0" borderId="73" xfId="0" applyNumberFormat="1" applyFont="1" applyFill="1" applyBorder="1" applyAlignment="1"/>
    <xf numFmtId="37" fontId="45" fillId="0" borderId="1" xfId="0" applyNumberFormat="1" applyFont="1" applyBorder="1" applyAlignment="1"/>
    <xf numFmtId="0" fontId="26" fillId="0" borderId="72" xfId="4" applyBorder="1" applyAlignment="1">
      <alignment horizontal="center"/>
    </xf>
    <xf numFmtId="37" fontId="12" fillId="0" borderId="40" xfId="0" applyNumberFormat="1" applyFont="1" applyBorder="1"/>
    <xf numFmtId="37" fontId="12" fillId="0" borderId="13" xfId="0" applyNumberFormat="1" applyFont="1" applyBorder="1"/>
    <xf numFmtId="183" fontId="12" fillId="0" borderId="6" xfId="5" applyNumberFormat="1" applyFont="1" applyBorder="1"/>
    <xf numFmtId="3" fontId="12" fillId="0" borderId="10" xfId="2" applyNumberFormat="1" applyFont="1" applyBorder="1"/>
    <xf numFmtId="183" fontId="12" fillId="0" borderId="0" xfId="5" applyNumberFormat="1" applyFont="1" applyBorder="1"/>
    <xf numFmtId="183" fontId="12" fillId="0" borderId="10" xfId="5" applyNumberFormat="1" applyFont="1" applyBorder="1"/>
    <xf numFmtId="37" fontId="27" fillId="0" borderId="74" xfId="5" applyNumberFormat="1" applyFont="1" applyBorder="1" applyAlignment="1">
      <alignment horizontal="right"/>
    </xf>
    <xf numFmtId="5" fontId="27" fillId="0" borderId="75" xfId="2" applyNumberFormat="1" applyFont="1" applyBorder="1" applyAlignment="1">
      <alignment horizontal="right"/>
    </xf>
    <xf numFmtId="0" fontId="60" fillId="0" borderId="0" xfId="0" applyFont="1" applyAlignment="1">
      <alignment vertical="top"/>
    </xf>
    <xf numFmtId="177" fontId="61" fillId="0" borderId="0" xfId="0" applyNumberFormat="1" applyFont="1" applyFill="1"/>
    <xf numFmtId="177" fontId="0" fillId="0" borderId="0" xfId="0" applyNumberFormat="1" applyFill="1"/>
    <xf numFmtId="177" fontId="31" fillId="2" borderId="76" xfId="0" applyNumberFormat="1" applyFont="1" applyFill="1" applyBorder="1" applyAlignment="1"/>
    <xf numFmtId="177" fontId="31" fillId="2" borderId="77" xfId="0" applyNumberFormat="1" applyFont="1" applyFill="1" applyBorder="1" applyAlignment="1"/>
    <xf numFmtId="3" fontId="32" fillId="2" borderId="78" xfId="0" applyNumberFormat="1" applyFont="1" applyFill="1" applyBorder="1" applyAlignment="1">
      <alignment horizontal="right"/>
    </xf>
    <xf numFmtId="37" fontId="31" fillId="2" borderId="79" xfId="0" applyNumberFormat="1" applyFont="1" applyFill="1" applyBorder="1" applyAlignment="1"/>
    <xf numFmtId="37" fontId="31" fillId="2" borderId="80" xfId="0" applyNumberFormat="1" applyFont="1" applyFill="1" applyBorder="1" applyAlignment="1"/>
    <xf numFmtId="3" fontId="31" fillId="2" borderId="81" xfId="0" applyNumberFormat="1" applyFont="1" applyFill="1" applyBorder="1" applyAlignment="1">
      <alignment horizontal="left"/>
    </xf>
    <xf numFmtId="0" fontId="0" fillId="0" borderId="4" xfId="0" applyBorder="1"/>
    <xf numFmtId="3" fontId="31" fillId="2" borderId="82" xfId="0" applyNumberFormat="1" applyFont="1" applyFill="1" applyBorder="1" applyAlignment="1">
      <alignment horizontal="left"/>
    </xf>
    <xf numFmtId="37" fontId="31" fillId="2" borderId="83" xfId="0" applyNumberFormat="1" applyFont="1" applyFill="1" applyBorder="1" applyAlignment="1"/>
    <xf numFmtId="177" fontId="31" fillId="2" borderId="12" xfId="0" applyNumberFormat="1" applyFont="1" applyFill="1" applyBorder="1" applyAlignment="1"/>
    <xf numFmtId="177" fontId="31" fillId="0" borderId="12" xfId="0" applyNumberFormat="1" applyFont="1" applyFill="1" applyBorder="1" applyAlignment="1"/>
    <xf numFmtId="177" fontId="31" fillId="0" borderId="5" xfId="0" applyNumberFormat="1" applyFont="1" applyFill="1" applyBorder="1" applyAlignment="1"/>
    <xf numFmtId="5" fontId="34" fillId="2" borderId="84" xfId="0" applyNumberFormat="1" applyFont="1" applyFill="1" applyBorder="1" applyAlignment="1"/>
    <xf numFmtId="37" fontId="2" fillId="0" borderId="13" xfId="0" applyNumberFormat="1" applyFont="1" applyFill="1" applyBorder="1" applyAlignment="1"/>
    <xf numFmtId="177" fontId="63" fillId="0" borderId="0" xfId="0" applyNumberFormat="1" applyFont="1" applyAlignment="1"/>
    <xf numFmtId="218" fontId="9" fillId="0" borderId="0" xfId="0" applyNumberFormat="1" applyFont="1" applyAlignment="1"/>
    <xf numFmtId="219" fontId="9" fillId="0" borderId="0" xfId="0" applyNumberFormat="1" applyFont="1" applyAlignment="1"/>
    <xf numFmtId="37" fontId="38" fillId="0" borderId="1" xfId="0" applyNumberFormat="1" applyFont="1" applyFill="1" applyBorder="1" applyAlignment="1"/>
    <xf numFmtId="37" fontId="38" fillId="0" borderId="13" xfId="0" applyNumberFormat="1" applyFont="1" applyFill="1" applyBorder="1" applyAlignment="1"/>
    <xf numFmtId="37" fontId="38" fillId="0" borderId="12" xfId="0" applyNumberFormat="1" applyFont="1" applyFill="1" applyBorder="1" applyAlignment="1"/>
    <xf numFmtId="37" fontId="38" fillId="0" borderId="14" xfId="0" applyNumberFormat="1" applyFont="1" applyFill="1" applyBorder="1" applyAlignment="1"/>
    <xf numFmtId="37" fontId="38" fillId="0" borderId="70" xfId="0" applyNumberFormat="1" applyFont="1" applyFill="1" applyBorder="1" applyAlignment="1"/>
    <xf numFmtId="37" fontId="38" fillId="0" borderId="5" xfId="0" applyNumberFormat="1" applyFont="1" applyFill="1" applyBorder="1" applyAlignment="1"/>
    <xf numFmtId="37" fontId="38" fillId="0" borderId="3" xfId="0" applyNumberFormat="1" applyFont="1" applyFill="1" applyBorder="1" applyAlignment="1"/>
    <xf numFmtId="37" fontId="2" fillId="0" borderId="12" xfId="0" applyNumberFormat="1" applyFont="1" applyFill="1" applyBorder="1" applyAlignment="1"/>
    <xf numFmtId="37" fontId="2" fillId="0" borderId="14" xfId="0" applyNumberFormat="1" applyFont="1" applyFill="1" applyBorder="1" applyAlignment="1"/>
    <xf numFmtId="37" fontId="33" fillId="0" borderId="5" xfId="0" applyNumberFormat="1" applyFont="1" applyFill="1" applyBorder="1" applyAlignment="1"/>
    <xf numFmtId="37" fontId="33" fillId="0" borderId="1" xfId="0" applyNumberFormat="1" applyFont="1" applyFill="1" applyBorder="1" applyAlignment="1"/>
    <xf numFmtId="5" fontId="33" fillId="0" borderId="1" xfId="0" applyNumberFormat="1" applyFont="1" applyFill="1" applyBorder="1" applyAlignment="1"/>
    <xf numFmtId="5" fontId="33" fillId="0" borderId="3" xfId="0" applyNumberFormat="1" applyFont="1" applyFill="1" applyBorder="1" applyAlignment="1"/>
    <xf numFmtId="37" fontId="2" fillId="0" borderId="24" xfId="0" applyNumberFormat="1" applyFont="1" applyFill="1" applyBorder="1" applyAlignment="1"/>
    <xf numFmtId="37" fontId="2" fillId="0" borderId="59" xfId="0" applyNumberFormat="1" applyFont="1" applyFill="1" applyBorder="1" applyAlignment="1"/>
    <xf numFmtId="37" fontId="2" fillId="0" borderId="60" xfId="0" applyNumberFormat="1" applyFont="1" applyFill="1" applyBorder="1" applyAlignment="1"/>
    <xf numFmtId="37" fontId="3" fillId="0" borderId="13" xfId="0" applyNumberFormat="1" applyFont="1" applyFill="1" applyBorder="1" applyAlignment="1"/>
    <xf numFmtId="37" fontId="3" fillId="0" borderId="70" xfId="0" applyNumberFormat="1" applyFont="1" applyFill="1" applyBorder="1" applyAlignment="1"/>
    <xf numFmtId="3" fontId="9" fillId="0" borderId="12" xfId="0" applyNumberFormat="1" applyFont="1" applyFill="1" applyBorder="1" applyAlignment="1"/>
    <xf numFmtId="3" fontId="9" fillId="0" borderId="13" xfId="0" applyNumberFormat="1" applyFont="1" applyFill="1" applyBorder="1" applyAlignment="1"/>
    <xf numFmtId="3" fontId="9" fillId="0" borderId="6" xfId="0" applyNumberFormat="1" applyFont="1" applyFill="1" applyBorder="1" applyAlignment="1"/>
    <xf numFmtId="3" fontId="9" fillId="0" borderId="0" xfId="0" applyNumberFormat="1" applyFont="1" applyFill="1" applyBorder="1" applyAlignment="1"/>
    <xf numFmtId="3" fontId="22" fillId="0" borderId="5" xfId="0" applyNumberFormat="1" applyFont="1" applyFill="1" applyBorder="1" applyAlignment="1"/>
    <xf numFmtId="3" fontId="22" fillId="0" borderId="1" xfId="0" applyNumberFormat="1" applyFont="1" applyFill="1" applyBorder="1" applyAlignment="1"/>
    <xf numFmtId="3" fontId="9" fillId="0" borderId="24" xfId="0" applyNumberFormat="1" applyFont="1" applyFill="1" applyBorder="1" applyAlignment="1"/>
    <xf numFmtId="3" fontId="9" fillId="0" borderId="59" xfId="0" applyNumberFormat="1" applyFont="1" applyFill="1" applyBorder="1" applyAlignment="1"/>
    <xf numFmtId="37" fontId="35" fillId="0" borderId="85" xfId="0" applyNumberFormat="1" applyFont="1" applyFill="1" applyBorder="1" applyAlignment="1"/>
    <xf numFmtId="37" fontId="35" fillId="0" borderId="86" xfId="0" applyNumberFormat="1" applyFont="1" applyFill="1" applyBorder="1" applyAlignment="1"/>
    <xf numFmtId="177" fontId="12" fillId="0" borderId="34" xfId="0" applyNumberFormat="1" applyFont="1" applyFill="1" applyBorder="1"/>
    <xf numFmtId="37" fontId="12" fillId="0" borderId="34" xfId="0" applyNumberFormat="1" applyFont="1" applyFill="1" applyBorder="1"/>
    <xf numFmtId="37" fontId="12" fillId="0" borderId="14" xfId="0" applyNumberFormat="1" applyFont="1" applyFill="1" applyBorder="1"/>
    <xf numFmtId="37" fontId="10" fillId="0" borderId="34" xfId="0" applyNumberFormat="1" applyFont="1" applyFill="1" applyBorder="1" applyAlignment="1"/>
    <xf numFmtId="37" fontId="10" fillId="0" borderId="87" xfId="0" applyNumberFormat="1" applyFont="1" applyFill="1" applyBorder="1" applyAlignment="1"/>
    <xf numFmtId="37" fontId="10" fillId="0" borderId="14" xfId="0" applyNumberFormat="1" applyFont="1" applyFill="1" applyBorder="1" applyAlignment="1"/>
    <xf numFmtId="177" fontId="12" fillId="0" borderId="14" xfId="0" applyNumberFormat="1" applyFont="1" applyFill="1" applyBorder="1"/>
    <xf numFmtId="37" fontId="36" fillId="0" borderId="63" xfId="0" applyNumberFormat="1" applyFont="1" applyFill="1" applyBorder="1"/>
    <xf numFmtId="37" fontId="36" fillId="0" borderId="88" xfId="0" applyNumberFormat="1" applyFont="1" applyFill="1" applyBorder="1"/>
    <xf numFmtId="37" fontId="36" fillId="0" borderId="60" xfId="0" applyNumberFormat="1" applyFont="1" applyFill="1" applyBorder="1"/>
    <xf numFmtId="4" fontId="32" fillId="0" borderId="13" xfId="0" applyNumberFormat="1" applyFont="1" applyFill="1" applyBorder="1" applyAlignment="1"/>
    <xf numFmtId="4" fontId="31" fillId="0" borderId="12" xfId="0" applyNumberFormat="1" applyFont="1" applyFill="1" applyBorder="1" applyAlignment="1"/>
    <xf numFmtId="165" fontId="32" fillId="0" borderId="13" xfId="0" applyNumberFormat="1" applyFont="1" applyFill="1" applyBorder="1" applyAlignment="1"/>
    <xf numFmtId="4" fontId="3" fillId="0" borderId="12" xfId="0" applyNumberFormat="1" applyFont="1" applyFill="1" applyBorder="1" applyAlignment="1"/>
    <xf numFmtId="4" fontId="32" fillId="0" borderId="61" xfId="0" applyNumberFormat="1" applyFont="1" applyFill="1" applyBorder="1" applyAlignment="1"/>
    <xf numFmtId="4" fontId="31" fillId="0" borderId="27" xfId="0" applyNumberFormat="1" applyFont="1" applyFill="1" applyBorder="1" applyAlignment="1"/>
    <xf numFmtId="37" fontId="10" fillId="0" borderId="12" xfId="0" applyNumberFormat="1" applyFont="1" applyFill="1" applyBorder="1" applyAlignment="1">
      <alignment horizontal="right"/>
    </xf>
    <xf numFmtId="37" fontId="10" fillId="0" borderId="13" xfId="0" applyNumberFormat="1" applyFont="1" applyFill="1" applyBorder="1" applyAlignment="1"/>
    <xf numFmtId="37" fontId="11" fillId="0" borderId="12" xfId="0" applyNumberFormat="1" applyFont="1" applyFill="1" applyBorder="1" applyAlignment="1"/>
    <xf numFmtId="37" fontId="11" fillId="0" borderId="13" xfId="0" applyNumberFormat="1" applyFont="1" applyFill="1" applyBorder="1" applyAlignment="1"/>
    <xf numFmtId="37" fontId="10" fillId="0" borderId="6" xfId="0" applyNumberFormat="1" applyFont="1" applyFill="1" applyBorder="1" applyAlignment="1"/>
    <xf numFmtId="37" fontId="10" fillId="0" borderId="0" xfId="0" applyNumberFormat="1" applyFont="1" applyFill="1" applyBorder="1" applyAlignment="1"/>
    <xf numFmtId="177" fontId="60" fillId="0" borderId="0" xfId="0" applyNumberFormat="1" applyFont="1" applyFill="1"/>
    <xf numFmtId="0" fontId="9" fillId="0" borderId="0" xfId="6" applyFont="1" applyFill="1" applyAlignment="1">
      <alignment horizontal="left" wrapText="1"/>
    </xf>
    <xf numFmtId="0" fontId="9" fillId="0" borderId="0" xfId="6" applyFont="1" applyFill="1" applyAlignment="1">
      <alignment wrapText="1"/>
    </xf>
    <xf numFmtId="0" fontId="9" fillId="0" borderId="0" xfId="6" applyFont="1" applyFill="1" applyAlignment="1">
      <alignment horizontal="center" wrapText="1"/>
    </xf>
    <xf numFmtId="5" fontId="26" fillId="0" borderId="0" xfId="4" applyNumberFormat="1"/>
    <xf numFmtId="37" fontId="31" fillId="0" borderId="12" xfId="0" applyNumberFormat="1" applyFont="1" applyFill="1" applyBorder="1" applyAlignment="1"/>
    <xf numFmtId="37" fontId="31" fillId="2" borderId="77" xfId="0" applyNumberFormat="1" applyFont="1" applyFill="1" applyBorder="1" applyAlignment="1"/>
    <xf numFmtId="37" fontId="10" fillId="0" borderId="89" xfId="0" applyNumberFormat="1" applyFont="1" applyFill="1" applyBorder="1" applyAlignment="1"/>
    <xf numFmtId="37" fontId="10" fillId="0" borderId="90" xfId="0" applyNumberFormat="1" applyFont="1" applyFill="1" applyBorder="1" applyAlignment="1"/>
    <xf numFmtId="37" fontId="10" fillId="0" borderId="91" xfId="0" applyNumberFormat="1" applyFont="1" applyFill="1" applyBorder="1" applyAlignment="1"/>
    <xf numFmtId="37" fontId="10" fillId="0" borderId="37" xfId="0" applyNumberFormat="1" applyFont="1" applyFill="1" applyBorder="1" applyAlignment="1"/>
    <xf numFmtId="37" fontId="10" fillId="0" borderId="92" xfId="0" applyNumberFormat="1" applyFont="1" applyFill="1" applyBorder="1" applyAlignment="1"/>
    <xf numFmtId="37" fontId="35" fillId="0" borderId="93" xfId="0" applyNumberFormat="1" applyFont="1" applyFill="1" applyBorder="1" applyAlignment="1"/>
    <xf numFmtId="37" fontId="35" fillId="0" borderId="15" xfId="0" applyNumberFormat="1" applyFont="1" applyFill="1" applyBorder="1" applyAlignment="1"/>
    <xf numFmtId="37" fontId="35" fillId="0" borderId="94" xfId="0" applyNumberFormat="1" applyFont="1" applyFill="1" applyBorder="1" applyAlignment="1"/>
    <xf numFmtId="37" fontId="10" fillId="0" borderId="36" xfId="0" applyNumberFormat="1" applyFont="1" applyFill="1" applyBorder="1" applyAlignment="1"/>
    <xf numFmtId="177" fontId="10" fillId="0" borderId="36" xfId="0" applyNumberFormat="1" applyFont="1" applyFill="1" applyBorder="1" applyAlignment="1"/>
    <xf numFmtId="37" fontId="10" fillId="0" borderId="95" xfId="0" applyNumberFormat="1" applyFont="1" applyFill="1" applyBorder="1" applyAlignment="1"/>
    <xf numFmtId="37" fontId="10" fillId="0" borderId="38" xfId="0" applyNumberFormat="1" applyFont="1" applyFill="1" applyBorder="1" applyAlignment="1"/>
    <xf numFmtId="177" fontId="10" fillId="0" borderId="38" xfId="0" applyNumberFormat="1" applyFont="1" applyFill="1" applyBorder="1" applyAlignment="1"/>
    <xf numFmtId="0" fontId="57" fillId="0" borderId="0" xfId="0" applyFont="1" applyBorder="1" applyAlignment="1"/>
    <xf numFmtId="0" fontId="67" fillId="0" borderId="0" xfId="0" applyFont="1" applyBorder="1" applyAlignment="1"/>
    <xf numFmtId="37" fontId="38" fillId="0" borderId="32" xfId="0" applyNumberFormat="1" applyFont="1" applyFill="1" applyBorder="1" applyAlignment="1"/>
    <xf numFmtId="37" fontId="0" fillId="0" borderId="13" xfId="0" applyNumberFormat="1" applyFill="1" applyBorder="1" applyAlignment="1"/>
    <xf numFmtId="37" fontId="38" fillId="0" borderId="31" xfId="0" applyNumberFormat="1" applyFont="1" applyFill="1" applyBorder="1" applyAlignment="1"/>
    <xf numFmtId="37" fontId="0" fillId="0" borderId="12" xfId="0" applyNumberFormat="1" applyFill="1" applyBorder="1" applyAlignment="1"/>
    <xf numFmtId="37" fontId="38" fillId="0" borderId="100" xfId="0" applyNumberFormat="1" applyFont="1" applyFill="1" applyBorder="1" applyAlignment="1"/>
    <xf numFmtId="37" fontId="0" fillId="0" borderId="14" xfId="0" applyNumberFormat="1" applyFill="1" applyBorder="1" applyAlignment="1"/>
    <xf numFmtId="3" fontId="38" fillId="0" borderId="31" xfId="0" applyNumberFormat="1" applyFont="1" applyBorder="1" applyAlignment="1"/>
    <xf numFmtId="0" fontId="0" fillId="0" borderId="12" xfId="0" applyBorder="1" applyAlignment="1"/>
    <xf numFmtId="3" fontId="38" fillId="0" borderId="17" xfId="0" applyNumberFormat="1" applyFont="1" applyBorder="1" applyAlignment="1"/>
    <xf numFmtId="0" fontId="0" fillId="0" borderId="5" xfId="0" applyBorder="1" applyAlignment="1"/>
    <xf numFmtId="3" fontId="38" fillId="0" borderId="96" xfId="0" applyNumberFormat="1" applyFont="1" applyFill="1" applyBorder="1" applyAlignment="1"/>
    <xf numFmtId="0" fontId="0" fillId="0" borderId="3" xfId="0" applyFill="1" applyBorder="1" applyAlignment="1"/>
    <xf numFmtId="3" fontId="9" fillId="0" borderId="30" xfId="0" applyNumberFormat="1" applyFont="1" applyBorder="1" applyAlignment="1">
      <alignment horizontal="left" indent="4"/>
    </xf>
    <xf numFmtId="0" fontId="0" fillId="0" borderId="103" xfId="0" applyBorder="1" applyAlignment="1">
      <alignment horizontal="left" indent="4"/>
    </xf>
    <xf numFmtId="3" fontId="38" fillId="0" borderId="17" xfId="0" applyNumberFormat="1" applyFont="1" applyFill="1" applyBorder="1" applyAlignment="1"/>
    <xf numFmtId="0" fontId="0" fillId="0" borderId="5" xfId="0" applyFill="1" applyBorder="1" applyAlignment="1"/>
    <xf numFmtId="3" fontId="23" fillId="0" borderId="0" xfId="0" applyNumberFormat="1" applyFont="1" applyAlignment="1"/>
    <xf numFmtId="0" fontId="71" fillId="0" borderId="0" xfId="0" applyFont="1" applyAlignment="1"/>
    <xf numFmtId="3" fontId="22" fillId="0" borderId="40" xfId="0" applyNumberFormat="1" applyFont="1" applyBorder="1" applyAlignment="1"/>
    <xf numFmtId="0" fontId="0" fillId="0" borderId="108" xfId="0" applyBorder="1" applyAlignment="1"/>
    <xf numFmtId="3" fontId="39" fillId="0" borderId="0" xfId="0" applyNumberFormat="1" applyFont="1" applyAlignment="1">
      <alignment horizontal="center"/>
    </xf>
    <xf numFmtId="0" fontId="0" fillId="0" borderId="0" xfId="0" applyAlignment="1">
      <alignment horizontal="center"/>
    </xf>
    <xf numFmtId="3" fontId="40" fillId="0" borderId="0" xfId="0" applyNumberFormat="1" applyFont="1" applyAlignment="1">
      <alignment horizontal="center"/>
    </xf>
    <xf numFmtId="0" fontId="0" fillId="0" borderId="0" xfId="0" applyBorder="1" applyAlignment="1">
      <alignment horizontal="center"/>
    </xf>
    <xf numFmtId="3" fontId="22" fillId="0" borderId="109" xfId="0" applyNumberFormat="1" applyFont="1" applyBorder="1" applyAlignment="1">
      <alignment horizontal="left" indent="2"/>
    </xf>
    <xf numFmtId="0" fontId="0" fillId="0" borderId="25" xfId="0" applyBorder="1" applyAlignment="1">
      <alignment horizontal="left" indent="2"/>
    </xf>
    <xf numFmtId="177" fontId="22" fillId="0" borderId="24" xfId="0" applyNumberFormat="1" applyFont="1" applyBorder="1" applyAlignment="1">
      <alignment horizontal="center"/>
    </xf>
    <xf numFmtId="177" fontId="22" fillId="0" borderId="59" xfId="0" applyNumberFormat="1" applyFont="1" applyBorder="1" applyAlignment="1">
      <alignment horizontal="center"/>
    </xf>
    <xf numFmtId="177" fontId="22" fillId="0" borderId="60" xfId="0" applyNumberFormat="1" applyFont="1" applyBorder="1" applyAlignment="1">
      <alignment horizontal="center"/>
    </xf>
    <xf numFmtId="3" fontId="9" fillId="0" borderId="91" xfId="0" applyNumberFormat="1" applyFont="1" applyBorder="1" applyAlignment="1"/>
    <xf numFmtId="0" fontId="0" fillId="0" borderId="110" xfId="0" applyBorder="1" applyAlignment="1"/>
    <xf numFmtId="177" fontId="22" fillId="0" borderId="2" xfId="0" applyNumberFormat="1" applyFont="1" applyBorder="1" applyAlignment="1">
      <alignment horizontal="right"/>
    </xf>
    <xf numFmtId="0" fontId="0" fillId="0" borderId="93" xfId="0" applyBorder="1" applyAlignment="1"/>
    <xf numFmtId="177" fontId="22" fillId="0" borderId="2" xfId="0" applyNumberFormat="1" applyFont="1" applyBorder="1" applyAlignment="1">
      <alignment horizontal="center"/>
    </xf>
    <xf numFmtId="177" fontId="22" fillId="0" borderId="2" xfId="0" applyNumberFormat="1" applyFont="1" applyBorder="1" applyAlignment="1">
      <alignment horizontal="center" wrapText="1"/>
    </xf>
    <xf numFmtId="0" fontId="0" fillId="0" borderId="93" xfId="0" applyBorder="1" applyAlignment="1">
      <alignment horizontal="center" wrapText="1"/>
    </xf>
    <xf numFmtId="3" fontId="9" fillId="0" borderId="90" xfId="0" applyNumberFormat="1" applyFont="1" applyBorder="1" applyAlignment="1"/>
    <xf numFmtId="0" fontId="0" fillId="0" borderId="107" xfId="0" applyBorder="1" applyAlignment="1"/>
    <xf numFmtId="3" fontId="22" fillId="0" borderId="105" xfId="0" applyNumberFormat="1" applyFont="1" applyBorder="1" applyAlignment="1">
      <alignment horizontal="left" indent="2"/>
    </xf>
    <xf numFmtId="0" fontId="0" fillId="0" borderId="106" xfId="0" applyBorder="1" applyAlignment="1">
      <alignment horizontal="left" indent="2"/>
    </xf>
    <xf numFmtId="3" fontId="9" fillId="0" borderId="12" xfId="0" applyNumberFormat="1" applyFont="1" applyBorder="1" applyAlignment="1">
      <alignment horizontal="left" indent="4"/>
    </xf>
    <xf numFmtId="0" fontId="0" fillId="0" borderId="13" xfId="0" applyBorder="1" applyAlignment="1">
      <alignment horizontal="left" indent="4"/>
    </xf>
    <xf numFmtId="3" fontId="38" fillId="0" borderId="73" xfId="0" applyNumberFormat="1" applyFont="1" applyFill="1" applyBorder="1" applyAlignment="1"/>
    <xf numFmtId="0" fontId="0" fillId="0" borderId="1" xfId="0" applyFill="1" applyBorder="1" applyAlignment="1"/>
    <xf numFmtId="3" fontId="9" fillId="0" borderId="30" xfId="0" applyNumberFormat="1" applyFont="1" applyFill="1" applyBorder="1" applyAlignment="1">
      <alignment horizontal="left" indent="4"/>
    </xf>
    <xf numFmtId="3" fontId="38" fillId="0" borderId="24" xfId="0" applyNumberFormat="1" applyFont="1" applyBorder="1" applyAlignment="1">
      <alignment horizontal="left" indent="2"/>
    </xf>
    <xf numFmtId="0" fontId="0" fillId="0" borderId="59" xfId="0" applyBorder="1" applyAlignment="1">
      <alignment horizontal="left" indent="2"/>
    </xf>
    <xf numFmtId="0" fontId="0" fillId="0" borderId="60" xfId="0" applyBorder="1" applyAlignment="1">
      <alignment horizontal="left" indent="2"/>
    </xf>
    <xf numFmtId="177" fontId="38" fillId="0" borderId="17" xfId="0" applyNumberFormat="1" applyFont="1" applyBorder="1" applyAlignment="1">
      <alignment horizontal="center" vertical="center" wrapText="1"/>
    </xf>
    <xf numFmtId="0" fontId="0" fillId="0" borderId="73"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3" fontId="38" fillId="0" borderId="69" xfId="0" applyNumberFormat="1" applyFont="1" applyBorder="1" applyAlignment="1">
      <alignment horizontal="left" indent="4"/>
    </xf>
    <xf numFmtId="0" fontId="0" fillId="0" borderId="70" xfId="0" applyBorder="1" applyAlignment="1">
      <alignment horizontal="left" indent="4"/>
    </xf>
    <xf numFmtId="0" fontId="0" fillId="0" borderId="71" xfId="0" applyBorder="1" applyAlignment="1">
      <alignment horizontal="left" indent="4"/>
    </xf>
    <xf numFmtId="3" fontId="22" fillId="0" borderId="24" xfId="0" applyNumberFormat="1" applyFont="1" applyBorder="1" applyAlignment="1"/>
    <xf numFmtId="0" fontId="0" fillId="0" borderId="59" xfId="0" applyBorder="1" applyAlignment="1"/>
    <xf numFmtId="3" fontId="9" fillId="0" borderId="30" xfId="0" applyNumberFormat="1" applyFont="1" applyBorder="1" applyAlignment="1"/>
    <xf numFmtId="0" fontId="0" fillId="0" borderId="103" xfId="0" applyBorder="1" applyAlignment="1"/>
    <xf numFmtId="3" fontId="9" fillId="0" borderId="30" xfId="0" applyNumberFormat="1" applyFont="1" applyBorder="1" applyAlignment="1">
      <alignment horizontal="left" indent="2"/>
    </xf>
    <xf numFmtId="0" fontId="0" fillId="0" borderId="103" xfId="0" applyBorder="1" applyAlignment="1">
      <alignment horizontal="left" indent="2"/>
    </xf>
    <xf numFmtId="0" fontId="0" fillId="0" borderId="103" xfId="0" applyFill="1" applyBorder="1" applyAlignment="1">
      <alignment horizontal="left" indent="4"/>
    </xf>
    <xf numFmtId="0" fontId="0" fillId="0" borderId="73"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3" fontId="9" fillId="0" borderId="24" xfId="0" applyNumberFormat="1" applyFont="1" applyBorder="1" applyAlignment="1"/>
    <xf numFmtId="0" fontId="0" fillId="0" borderId="96" xfId="0" applyBorder="1" applyAlignment="1">
      <alignment horizontal="center" vertical="center" wrapText="1"/>
    </xf>
    <xf numFmtId="0" fontId="0" fillId="0" borderId="3" xfId="0" applyBorder="1" applyAlignment="1">
      <alignment horizontal="center" vertical="center" wrapText="1"/>
    </xf>
    <xf numFmtId="177" fontId="38" fillId="0" borderId="17" xfId="0" applyNumberFormat="1" applyFont="1" applyBorder="1" applyAlignment="1">
      <alignment horizontal="center" vertical="center"/>
    </xf>
    <xf numFmtId="0" fontId="0" fillId="0" borderId="73" xfId="0" applyBorder="1" applyAlignment="1">
      <alignment vertical="center"/>
    </xf>
    <xf numFmtId="0" fontId="0" fillId="0" borderId="96"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9" fillId="0" borderId="30" xfId="0" applyFont="1" applyBorder="1" applyAlignment="1">
      <alignment horizontal="left" indent="2"/>
    </xf>
    <xf numFmtId="0" fontId="3" fillId="0" borderId="30" xfId="0" applyFont="1" applyBorder="1" applyAlignment="1">
      <alignment horizontal="left" indent="2"/>
    </xf>
    <xf numFmtId="3" fontId="38" fillId="0" borderId="30" xfId="0" applyNumberFormat="1" applyFont="1" applyBorder="1" applyAlignment="1">
      <alignment horizontal="left" indent="4"/>
    </xf>
    <xf numFmtId="0" fontId="0" fillId="0" borderId="84" xfId="0" applyBorder="1" applyAlignment="1">
      <alignment horizontal="left" indent="4"/>
    </xf>
    <xf numFmtId="3" fontId="45" fillId="0" borderId="17" xfId="0" applyNumberFormat="1" applyFont="1" applyBorder="1" applyAlignment="1"/>
    <xf numFmtId="0" fontId="0" fillId="0" borderId="73" xfId="0" applyBorder="1" applyAlignment="1"/>
    <xf numFmtId="0" fontId="0" fillId="0" borderId="96" xfId="0" applyBorder="1" applyAlignment="1"/>
    <xf numFmtId="0" fontId="0" fillId="0" borderId="6" xfId="0" applyBorder="1" applyAlignment="1"/>
    <xf numFmtId="0" fontId="0" fillId="0" borderId="0" xfId="0" applyBorder="1" applyAlignment="1"/>
    <xf numFmtId="0" fontId="0" fillId="0" borderId="10" xfId="0" applyBorder="1" applyAlignment="1"/>
    <xf numFmtId="0" fontId="0" fillId="0" borderId="16" xfId="0" applyBorder="1" applyAlignment="1"/>
    <xf numFmtId="0" fontId="0" fillId="0" borderId="11" xfId="0" applyBorder="1" applyAlignment="1"/>
    <xf numFmtId="0" fontId="0" fillId="0" borderId="15" xfId="0" applyBorder="1" applyAlignment="1"/>
    <xf numFmtId="3" fontId="45" fillId="0" borderId="5" xfId="0" applyNumberFormat="1" applyFont="1" applyBorder="1" applyAlignment="1">
      <alignment horizontal="left" indent="4"/>
    </xf>
    <xf numFmtId="0" fontId="0" fillId="0" borderId="1" xfId="0" applyBorder="1" applyAlignment="1">
      <alignment horizontal="left" indent="4"/>
    </xf>
    <xf numFmtId="0" fontId="0" fillId="0" borderId="3" xfId="0" applyBorder="1" applyAlignment="1">
      <alignment horizontal="left" indent="4"/>
    </xf>
    <xf numFmtId="3" fontId="38" fillId="0" borderId="104" xfId="0" applyNumberFormat="1" applyFont="1" applyBorder="1" applyAlignment="1">
      <alignment horizontal="left" indent="2"/>
    </xf>
    <xf numFmtId="0" fontId="0" fillId="0" borderId="101" xfId="0" applyBorder="1" applyAlignment="1">
      <alignment horizontal="left" indent="2"/>
    </xf>
    <xf numFmtId="0" fontId="0" fillId="0" borderId="102" xfId="0" applyBorder="1" applyAlignment="1">
      <alignment horizontal="left" indent="2"/>
    </xf>
    <xf numFmtId="3" fontId="38" fillId="0" borderId="31" xfId="0" applyNumberFormat="1" applyFont="1" applyBorder="1" applyAlignment="1">
      <alignment horizontal="left" indent="2"/>
    </xf>
    <xf numFmtId="0" fontId="0" fillId="0" borderId="32" xfId="0" applyBorder="1" applyAlignment="1">
      <alignment horizontal="left" indent="2"/>
    </xf>
    <xf numFmtId="0" fontId="0" fillId="0" borderId="100" xfId="0" applyBorder="1" applyAlignment="1">
      <alignment horizontal="left" indent="2"/>
    </xf>
    <xf numFmtId="0" fontId="0" fillId="0" borderId="12" xfId="0" applyBorder="1" applyAlignment="1">
      <alignment horizontal="left" indent="2"/>
    </xf>
    <xf numFmtId="0" fontId="0" fillId="0" borderId="13" xfId="0" applyBorder="1" applyAlignment="1">
      <alignment horizontal="left" indent="2"/>
    </xf>
    <xf numFmtId="0" fontId="0" fillId="0" borderId="14" xfId="0" applyBorder="1" applyAlignment="1">
      <alignment horizontal="left" indent="2"/>
    </xf>
    <xf numFmtId="3" fontId="38" fillId="0" borderId="98" xfId="0" applyNumberFormat="1" applyFont="1" applyBorder="1" applyAlignment="1">
      <alignment horizontal="left" indent="2"/>
    </xf>
    <xf numFmtId="3" fontId="38" fillId="0" borderId="99" xfId="0" applyNumberFormat="1" applyFont="1" applyBorder="1" applyAlignment="1">
      <alignment horizontal="left" indent="2"/>
    </xf>
    <xf numFmtId="3" fontId="38" fillId="0" borderId="97" xfId="0" applyNumberFormat="1" applyFont="1" applyBorder="1" applyAlignment="1">
      <alignment horizontal="left" indent="2"/>
    </xf>
    <xf numFmtId="3" fontId="38" fillId="0" borderId="17" xfId="0" applyNumberFormat="1" applyFont="1" applyBorder="1" applyAlignment="1">
      <alignment horizontal="left" wrapText="1" indent="1"/>
    </xf>
    <xf numFmtId="0" fontId="0" fillId="0" borderId="73" xfId="0" applyBorder="1" applyAlignment="1">
      <alignment horizontal="left" wrapText="1" indent="1"/>
    </xf>
    <xf numFmtId="0" fontId="0" fillId="0" borderId="96" xfId="0" applyBorder="1" applyAlignment="1">
      <alignment horizontal="left" wrapText="1" indent="1"/>
    </xf>
    <xf numFmtId="0" fontId="0" fillId="0" borderId="5" xfId="0" applyBorder="1" applyAlignment="1">
      <alignment horizontal="left" wrapText="1" indent="1"/>
    </xf>
    <xf numFmtId="0" fontId="0" fillId="0" borderId="1" xfId="0" applyBorder="1" applyAlignment="1">
      <alignment horizontal="left" wrapText="1" indent="1"/>
    </xf>
    <xf numFmtId="0" fontId="0" fillId="0" borderId="3" xfId="0" applyBorder="1" applyAlignment="1">
      <alignment horizontal="left" wrapText="1" indent="1"/>
    </xf>
    <xf numFmtId="3" fontId="38" fillId="0" borderId="69" xfId="0" applyNumberFormat="1" applyFont="1" applyBorder="1" applyAlignment="1">
      <alignment horizontal="left" indent="2"/>
    </xf>
    <xf numFmtId="3" fontId="38" fillId="0" borderId="70" xfId="0" applyNumberFormat="1" applyFont="1" applyBorder="1" applyAlignment="1">
      <alignment horizontal="left" indent="2"/>
    </xf>
    <xf numFmtId="3" fontId="38" fillId="0" borderId="71" xfId="0" applyNumberFormat="1" applyFont="1" applyBorder="1" applyAlignment="1">
      <alignment horizontal="left" indent="2"/>
    </xf>
    <xf numFmtId="3" fontId="38" fillId="0" borderId="30" xfId="0" applyNumberFormat="1" applyFont="1" applyBorder="1" applyAlignment="1">
      <alignment horizontal="left" indent="2"/>
    </xf>
    <xf numFmtId="3" fontId="38" fillId="0" borderId="103" xfId="0" applyNumberFormat="1" applyFont="1" applyBorder="1" applyAlignment="1">
      <alignment horizontal="left" indent="2"/>
    </xf>
    <xf numFmtId="3" fontId="38" fillId="0" borderId="84" xfId="0" applyNumberFormat="1" applyFont="1" applyBorder="1" applyAlignment="1">
      <alignment horizontal="left" indent="2"/>
    </xf>
    <xf numFmtId="0" fontId="57" fillId="0" borderId="5" xfId="4" applyFont="1" applyBorder="1" applyAlignment="1">
      <alignment horizontal="center"/>
    </xf>
    <xf numFmtId="0" fontId="53" fillId="0" borderId="1" xfId="0" applyFont="1" applyBorder="1" applyAlignment="1">
      <alignment horizontal="center"/>
    </xf>
    <xf numFmtId="0" fontId="53" fillId="0" borderId="3" xfId="0" applyFont="1" applyBorder="1" applyAlignment="1">
      <alignment horizontal="center"/>
    </xf>
    <xf numFmtId="0" fontId="27" fillId="0" borderId="2" xfId="4" applyFont="1" applyBorder="1" applyAlignment="1"/>
    <xf numFmtId="0" fontId="0" fillId="0" borderId="7" xfId="0" applyBorder="1" applyAlignment="1"/>
    <xf numFmtId="0" fontId="39" fillId="0" borderId="0" xfId="4" applyFont="1" applyAlignment="1">
      <alignment horizontal="center"/>
    </xf>
    <xf numFmtId="0" fontId="70" fillId="0" borderId="0" xfId="0" applyFont="1" applyAlignment="1">
      <alignment horizontal="center"/>
    </xf>
    <xf numFmtId="3" fontId="40" fillId="0" borderId="0" xfId="4" applyNumberFormat="1" applyFont="1" applyAlignment="1">
      <alignment horizontal="center"/>
    </xf>
    <xf numFmtId="0" fontId="70" fillId="0" borderId="0" xfId="0" applyFont="1" applyBorder="1" applyAlignment="1">
      <alignment horizontal="center"/>
    </xf>
    <xf numFmtId="0" fontId="40" fillId="0" borderId="0" xfId="4" applyFont="1" applyAlignment="1">
      <alignment horizontal="center"/>
    </xf>
    <xf numFmtId="0" fontId="27" fillId="0" borderId="2" xfId="4" applyFont="1" applyBorder="1" applyAlignment="1">
      <alignment horizontal="center" wrapText="1"/>
    </xf>
    <xf numFmtId="0" fontId="0" fillId="0" borderId="7" xfId="0" applyBorder="1" applyAlignment="1">
      <alignment horizontal="center" wrapText="1"/>
    </xf>
    <xf numFmtId="0" fontId="27" fillId="0" borderId="24" xfId="4" applyFont="1"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27" fillId="0" borderId="2" xfId="4" applyFont="1" applyBorder="1" applyAlignment="1">
      <alignment wrapText="1"/>
    </xf>
    <xf numFmtId="0" fontId="0" fillId="0" borderId="4" xfId="0" applyBorder="1" applyAlignment="1">
      <alignment wrapText="1"/>
    </xf>
    <xf numFmtId="0" fontId="45" fillId="0" borderId="98" xfId="5" applyFont="1" applyFill="1" applyBorder="1" applyAlignment="1">
      <alignment horizontal="center" vertical="center" wrapText="1"/>
    </xf>
    <xf numFmtId="0" fontId="0" fillId="0" borderId="97" xfId="0" applyBorder="1" applyAlignment="1">
      <alignment horizontal="center" vertical="center" wrapText="1"/>
    </xf>
    <xf numFmtId="0" fontId="0" fillId="0" borderId="3" xfId="0" applyBorder="1" applyAlignment="1">
      <alignment vertical="center" wrapText="1"/>
    </xf>
    <xf numFmtId="0" fontId="30"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7" fillId="0" borderId="73" xfId="5" applyFont="1" applyFill="1" applyBorder="1" applyAlignment="1"/>
    <xf numFmtId="0" fontId="12" fillId="0" borderId="1" xfId="5" applyFont="1" applyFill="1" applyBorder="1" applyAlignment="1"/>
    <xf numFmtId="1" fontId="27" fillId="0" borderId="98" xfId="5" applyNumberFormat="1" applyFont="1" applyFill="1" applyBorder="1" applyAlignment="1">
      <alignment horizontal="center" vertical="center" wrapText="1"/>
    </xf>
    <xf numFmtId="0" fontId="27" fillId="0" borderId="24" xfId="5" applyFont="1" applyFill="1" applyBorder="1" applyAlignment="1">
      <alignment horizontal="center"/>
    </xf>
    <xf numFmtId="0" fontId="27" fillId="0" borderId="5" xfId="5" applyFont="1" applyFill="1" applyBorder="1" applyAlignment="1">
      <alignment horizontal="center"/>
    </xf>
    <xf numFmtId="0" fontId="27" fillId="0" borderId="3" xfId="5" applyFont="1" applyFill="1" applyBorder="1" applyAlignment="1">
      <alignment horizontal="center"/>
    </xf>
    <xf numFmtId="1" fontId="27" fillId="0" borderId="111" xfId="5" applyNumberFormat="1" applyFont="1" applyFill="1" applyBorder="1" applyAlignment="1">
      <alignment horizontal="center" vertical="center" wrapText="1"/>
    </xf>
    <xf numFmtId="0" fontId="0" fillId="0" borderId="112" xfId="0" applyBorder="1" applyAlignment="1">
      <alignment horizontal="center" vertical="center" wrapText="1"/>
    </xf>
    <xf numFmtId="0" fontId="0" fillId="0" borderId="113" xfId="0" applyBorder="1" applyAlignment="1">
      <alignment horizontal="center" vertical="center" wrapText="1"/>
    </xf>
    <xf numFmtId="0" fontId="23" fillId="0" borderId="0" xfId="5" applyFont="1" applyAlignment="1"/>
    <xf numFmtId="0" fontId="72" fillId="0" borderId="0" xfId="0" applyFont="1" applyBorder="1" applyAlignment="1"/>
    <xf numFmtId="0" fontId="22" fillId="0" borderId="0" xfId="5" applyFont="1" applyAlignment="1">
      <alignment horizontal="center"/>
    </xf>
    <xf numFmtId="3" fontId="22" fillId="0" borderId="0" xfId="5" applyNumberFormat="1" applyFont="1" applyAlignment="1">
      <alignment horizontal="center"/>
    </xf>
    <xf numFmtId="0" fontId="12" fillId="0" borderId="0" xfId="5" applyFont="1" applyAlignment="1">
      <alignment horizontal="center"/>
    </xf>
    <xf numFmtId="0" fontId="44" fillId="0" borderId="0" xfId="0" applyFont="1" applyBorder="1" applyAlignment="1">
      <alignment vertical="top" wrapText="1"/>
    </xf>
    <xf numFmtId="0" fontId="38" fillId="0" borderId="0" xfId="0" applyFont="1" applyBorder="1" applyAlignment="1">
      <alignment vertical="top" wrapText="1"/>
    </xf>
    <xf numFmtId="0" fontId="38" fillId="0" borderId="0" xfId="0" applyFont="1" applyBorder="1" applyAlignment="1">
      <alignment horizontal="left" vertical="top" wrapText="1"/>
    </xf>
    <xf numFmtId="0" fontId="75" fillId="0" borderId="0" xfId="0" applyFont="1" applyBorder="1" applyAlignment="1">
      <alignment vertical="top" wrapText="1"/>
    </xf>
    <xf numFmtId="0" fontId="49" fillId="0" borderId="0" xfId="0" applyFont="1" applyBorder="1" applyAlignment="1">
      <alignment vertical="top" wrapText="1"/>
    </xf>
    <xf numFmtId="0" fontId="14" fillId="0" borderId="0" xfId="0" applyFont="1" applyBorder="1" applyAlignment="1">
      <alignment vertical="top" wrapText="1"/>
    </xf>
    <xf numFmtId="0" fontId="52" fillId="0" borderId="0" xfId="0" applyFont="1" applyBorder="1" applyAlignment="1">
      <alignment vertical="top" wrapText="1"/>
    </xf>
    <xf numFmtId="0" fontId="0" fillId="0" borderId="0" xfId="0" applyBorder="1" applyAlignment="1">
      <alignment vertical="top" wrapText="1"/>
    </xf>
    <xf numFmtId="0" fontId="71" fillId="0" borderId="0" xfId="0" applyFont="1" applyBorder="1" applyAlignment="1"/>
    <xf numFmtId="0" fontId="44" fillId="0" borderId="0" xfId="0" applyFont="1" applyBorder="1" applyAlignment="1">
      <alignment wrapText="1"/>
    </xf>
    <xf numFmtId="0" fontId="0" fillId="0" borderId="0" xfId="0" applyBorder="1" applyAlignment="1">
      <alignment wrapText="1"/>
    </xf>
    <xf numFmtId="0" fontId="44" fillId="0" borderId="0" xfId="0" applyFont="1" applyFill="1" applyBorder="1" applyAlignment="1">
      <alignment vertical="top" wrapText="1"/>
    </xf>
    <xf numFmtId="0" fontId="67" fillId="0" borderId="0" xfId="0" applyFont="1" applyFill="1" applyBorder="1" applyAlignment="1">
      <alignment vertical="top" wrapText="1"/>
    </xf>
    <xf numFmtId="0" fontId="38" fillId="0" borderId="0" xfId="0" applyFont="1" applyBorder="1" applyAlignment="1">
      <alignment horizontal="center" vertical="top" wrapText="1"/>
    </xf>
    <xf numFmtId="0" fontId="38" fillId="0" borderId="1" xfId="0" applyFont="1" applyBorder="1" applyAlignment="1">
      <alignment horizontal="center" vertical="top" wrapText="1"/>
    </xf>
    <xf numFmtId="0" fontId="49" fillId="0" borderId="0" xfId="0" applyFont="1" applyFill="1" applyBorder="1" applyAlignment="1">
      <alignment vertical="top" wrapText="1"/>
    </xf>
    <xf numFmtId="0" fontId="14" fillId="0" borderId="0" xfId="0" applyFont="1" applyFill="1" applyBorder="1" applyAlignment="1">
      <alignment vertical="top" wrapText="1"/>
    </xf>
    <xf numFmtId="0" fontId="38" fillId="0" borderId="0" xfId="0" applyNumberFormat="1" applyFont="1" applyBorder="1" applyAlignment="1">
      <alignment vertical="top" wrapText="1"/>
    </xf>
    <xf numFmtId="0" fontId="67" fillId="0" borderId="0" xfId="0" applyFont="1" applyBorder="1" applyAlignment="1">
      <alignment vertical="top" wrapText="1"/>
    </xf>
    <xf numFmtId="0" fontId="44" fillId="0" borderId="0" xfId="0" applyFont="1" applyBorder="1" applyAlignment="1">
      <alignment horizontal="center" vertical="top"/>
    </xf>
    <xf numFmtId="0" fontId="0" fillId="0" borderId="0" xfId="0" applyBorder="1" applyAlignment="1">
      <alignment horizontal="center" vertical="top"/>
    </xf>
    <xf numFmtId="0" fontId="74" fillId="0" borderId="0" xfId="0" applyFont="1" applyFill="1" applyBorder="1" applyAlignment="1">
      <alignment vertical="top" wrapText="1"/>
    </xf>
    <xf numFmtId="177" fontId="2" fillId="0" borderId="30" xfId="0" applyNumberFormat="1" applyFont="1" applyBorder="1" applyAlignment="1">
      <alignment horizontal="left" indent="3"/>
    </xf>
    <xf numFmtId="0" fontId="0" fillId="0" borderId="84" xfId="0" applyBorder="1" applyAlignment="1">
      <alignment horizontal="left" indent="3"/>
    </xf>
    <xf numFmtId="177" fontId="2" fillId="0" borderId="30" xfId="0" applyNumberFormat="1" applyFont="1" applyBorder="1" applyAlignment="1"/>
    <xf numFmtId="0" fontId="0" fillId="0" borderId="84" xfId="0" applyBorder="1" applyAlignment="1"/>
    <xf numFmtId="177" fontId="4" fillId="0" borderId="24" xfId="0" applyNumberFormat="1" applyFont="1" applyBorder="1" applyAlignment="1"/>
    <xf numFmtId="0" fontId="0" fillId="0" borderId="60" xfId="0" applyBorder="1" applyAlignment="1"/>
    <xf numFmtId="177" fontId="33" fillId="0" borderId="17" xfId="0" applyNumberFormat="1" applyFont="1" applyBorder="1" applyAlignment="1">
      <alignment horizontal="center" wrapText="1"/>
    </xf>
    <xf numFmtId="0" fontId="0" fillId="0" borderId="73" xfId="0" applyBorder="1" applyAlignment="1">
      <alignment horizontal="center" wrapText="1"/>
    </xf>
    <xf numFmtId="0" fontId="0" fillId="0" borderId="96" xfId="0" applyBorder="1" applyAlignment="1">
      <alignment horizontal="center" wrapText="1"/>
    </xf>
    <xf numFmtId="0" fontId="0" fillId="0" borderId="6"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177" fontId="4" fillId="0" borderId="104" xfId="0" applyNumberFormat="1" applyFont="1" applyBorder="1" applyAlignment="1"/>
    <xf numFmtId="0" fontId="0" fillId="0" borderId="102" xfId="0" applyBorder="1" applyAlignment="1"/>
    <xf numFmtId="177" fontId="33" fillId="0" borderId="17" xfId="0" applyNumberFormat="1" applyFont="1" applyBorder="1" applyAlignment="1">
      <alignment horizontal="center"/>
    </xf>
    <xf numFmtId="177" fontId="33" fillId="0" borderId="5" xfId="0" applyNumberFormat="1" applyFont="1" applyBorder="1" applyAlignment="1">
      <alignment horizontal="left" indent="3"/>
    </xf>
    <xf numFmtId="0" fontId="0" fillId="0" borderId="3" xfId="0" applyBorder="1" applyAlignment="1">
      <alignment horizontal="left" indent="3"/>
    </xf>
    <xf numFmtId="177" fontId="2" fillId="0" borderId="24" xfId="0" applyNumberFormat="1" applyFont="1" applyBorder="1" applyAlignment="1"/>
    <xf numFmtId="177" fontId="2" fillId="0" borderId="12" xfId="0" applyNumberFormat="1" applyFont="1" applyBorder="1" applyAlignment="1"/>
    <xf numFmtId="0" fontId="0" fillId="0" borderId="14" xfId="0" applyBorder="1" applyAlignment="1"/>
    <xf numFmtId="177" fontId="33" fillId="0" borderId="17" xfId="0" applyNumberFormat="1" applyFont="1" applyBorder="1" applyAlignment="1">
      <alignment horizontal="left"/>
    </xf>
    <xf numFmtId="177" fontId="33" fillId="0" borderId="96" xfId="0" applyNumberFormat="1" applyFont="1" applyBorder="1" applyAlignment="1">
      <alignment horizontal="left"/>
    </xf>
    <xf numFmtId="177" fontId="33" fillId="0" borderId="6" xfId="0" applyNumberFormat="1" applyFont="1" applyBorder="1" applyAlignment="1">
      <alignment horizontal="left"/>
    </xf>
    <xf numFmtId="177" fontId="33" fillId="0" borderId="10" xfId="0" applyNumberFormat="1" applyFont="1" applyBorder="1" applyAlignment="1">
      <alignment horizontal="left"/>
    </xf>
    <xf numFmtId="177" fontId="33" fillId="0" borderId="16" xfId="0" applyNumberFormat="1" applyFont="1" applyBorder="1" applyAlignment="1">
      <alignment horizontal="left"/>
    </xf>
    <xf numFmtId="177" fontId="33" fillId="0" borderId="15" xfId="0" applyNumberFormat="1" applyFont="1" applyBorder="1" applyAlignment="1">
      <alignment horizontal="left"/>
    </xf>
    <xf numFmtId="177" fontId="55" fillId="0" borderId="0" xfId="0" applyNumberFormat="1" applyFont="1" applyAlignment="1">
      <alignment horizontal="center"/>
    </xf>
    <xf numFmtId="177" fontId="7" fillId="0" borderId="0" xfId="0" applyNumberFormat="1" applyFont="1" applyAlignment="1">
      <alignment horizontal="center"/>
    </xf>
    <xf numFmtId="177" fontId="8" fillId="0" borderId="0" xfId="0" applyNumberFormat="1" applyFont="1" applyAlignment="1">
      <alignment horizontal="center"/>
    </xf>
    <xf numFmtId="177" fontId="25" fillId="0" borderId="0" xfId="0" applyNumberFormat="1" applyFont="1" applyAlignment="1">
      <alignment horizontal="center"/>
    </xf>
    <xf numFmtId="177" fontId="2" fillId="0" borderId="69" xfId="0" applyNumberFormat="1" applyFont="1" applyBorder="1" applyAlignment="1">
      <alignment horizontal="left" indent="3"/>
    </xf>
    <xf numFmtId="0" fontId="0" fillId="0" borderId="71" xfId="0" applyBorder="1" applyAlignment="1">
      <alignment horizontal="left" indent="3"/>
    </xf>
    <xf numFmtId="0" fontId="9" fillId="0" borderId="0" xfId="0" applyFont="1" applyBorder="1" applyAlignment="1">
      <alignment vertical="top" wrapText="1"/>
    </xf>
    <xf numFmtId="177" fontId="12" fillId="0" borderId="0" xfId="0" applyNumberFormat="1" applyFont="1" applyAlignment="1">
      <alignment horizontal="center"/>
    </xf>
    <xf numFmtId="0" fontId="12" fillId="0" borderId="0" xfId="0" applyFont="1" applyBorder="1" applyAlignment="1">
      <alignment horizontal="center"/>
    </xf>
    <xf numFmtId="177" fontId="22" fillId="0" borderId="17" xfId="0" applyNumberFormat="1" applyFont="1" applyBorder="1" applyAlignment="1">
      <alignment horizontal="center" wrapText="1"/>
    </xf>
    <xf numFmtId="0" fontId="22" fillId="0" borderId="73" xfId="0" applyFont="1" applyBorder="1" applyAlignment="1">
      <alignment horizontal="center" wrapText="1"/>
    </xf>
    <xf numFmtId="0" fontId="22" fillId="0" borderId="96" xfId="0" applyFont="1" applyBorder="1" applyAlignment="1">
      <alignment horizontal="center" wrapText="1"/>
    </xf>
    <xf numFmtId="0" fontId="22" fillId="0" borderId="6" xfId="0" applyFont="1" applyBorder="1" applyAlignment="1">
      <alignment horizontal="center" wrapText="1"/>
    </xf>
    <xf numFmtId="0" fontId="22" fillId="0" borderId="0" xfId="0" applyFont="1" applyBorder="1" applyAlignment="1">
      <alignment horizontal="center" wrapText="1"/>
    </xf>
    <xf numFmtId="0" fontId="22" fillId="0" borderId="10" xfId="0" applyFont="1" applyBorder="1" applyAlignment="1">
      <alignment horizontal="center" wrapText="1"/>
    </xf>
    <xf numFmtId="177" fontId="22" fillId="0" borderId="17" xfId="0" applyNumberFormat="1" applyFont="1" applyBorder="1" applyAlignment="1">
      <alignment horizontal="left"/>
    </xf>
    <xf numFmtId="177" fontId="22" fillId="0" borderId="96" xfId="0" applyNumberFormat="1" applyFont="1" applyBorder="1" applyAlignment="1">
      <alignment horizontal="left"/>
    </xf>
    <xf numFmtId="177" fontId="22" fillId="0" borderId="6" xfId="0" applyNumberFormat="1" applyFont="1" applyBorder="1" applyAlignment="1">
      <alignment horizontal="left"/>
    </xf>
    <xf numFmtId="177" fontId="22" fillId="0" borderId="10" xfId="0" applyNumberFormat="1" applyFont="1" applyBorder="1" applyAlignment="1">
      <alignment horizontal="left"/>
    </xf>
    <xf numFmtId="177" fontId="22" fillId="0" borderId="16" xfId="0" applyNumberFormat="1" applyFont="1" applyBorder="1" applyAlignment="1">
      <alignment horizontal="left"/>
    </xf>
    <xf numFmtId="177" fontId="22" fillId="0" borderId="15" xfId="0" applyNumberFormat="1" applyFont="1" applyBorder="1" applyAlignment="1">
      <alignment horizontal="left"/>
    </xf>
    <xf numFmtId="3" fontId="23" fillId="0" borderId="0" xfId="0" applyNumberFormat="1" applyFont="1" applyBorder="1" applyAlignment="1"/>
    <xf numFmtId="0" fontId="23" fillId="0" borderId="0" xfId="0" applyFont="1" applyBorder="1" applyAlignment="1"/>
    <xf numFmtId="177" fontId="13" fillId="0" borderId="0" xfId="0" applyNumberFormat="1" applyFont="1" applyAlignment="1">
      <alignment horizontal="center"/>
    </xf>
    <xf numFmtId="0" fontId="13" fillId="0" borderId="0" xfId="0" applyFont="1" applyAlignment="1">
      <alignment horizontal="center"/>
    </xf>
    <xf numFmtId="177" fontId="9" fillId="0" borderId="0" xfId="0" applyNumberFormat="1" applyFont="1" applyAlignment="1">
      <alignment horizontal="center"/>
    </xf>
    <xf numFmtId="0" fontId="9" fillId="0" borderId="0" xfId="0" applyFont="1" applyBorder="1" applyAlignment="1">
      <alignment horizontal="center"/>
    </xf>
    <xf numFmtId="0" fontId="9" fillId="0" borderId="0" xfId="0" applyFont="1" applyAlignment="1">
      <alignment horizontal="center"/>
    </xf>
    <xf numFmtId="177" fontId="9" fillId="0" borderId="24" xfId="0" applyNumberFormat="1" applyFont="1" applyBorder="1" applyAlignment="1"/>
    <xf numFmtId="0" fontId="9" fillId="0" borderId="60" xfId="0" applyFont="1" applyBorder="1" applyAlignment="1"/>
    <xf numFmtId="177" fontId="22" fillId="0" borderId="5" xfId="0" applyNumberFormat="1" applyFont="1" applyBorder="1" applyAlignment="1">
      <alignment horizontal="left" indent="3"/>
    </xf>
    <xf numFmtId="0" fontId="22" fillId="0" borderId="3" xfId="0" applyFont="1" applyBorder="1" applyAlignment="1">
      <alignment horizontal="left" indent="3"/>
    </xf>
    <xf numFmtId="177" fontId="9" fillId="0" borderId="30" xfId="0" applyNumberFormat="1" applyFont="1" applyBorder="1" applyAlignment="1">
      <alignment horizontal="left" indent="3"/>
    </xf>
    <xf numFmtId="0" fontId="9" fillId="0" borderId="84" xfId="0" applyFont="1" applyBorder="1" applyAlignment="1">
      <alignment horizontal="left" indent="3"/>
    </xf>
    <xf numFmtId="177" fontId="9" fillId="0" borderId="69" xfId="0" applyNumberFormat="1" applyFont="1" applyBorder="1" applyAlignment="1">
      <alignment horizontal="left" indent="3"/>
    </xf>
    <xf numFmtId="0" fontId="9" fillId="0" borderId="71" xfId="0" applyFont="1" applyBorder="1" applyAlignment="1">
      <alignment horizontal="left" indent="3"/>
    </xf>
    <xf numFmtId="177" fontId="9" fillId="0" borderId="104" xfId="0" applyNumberFormat="1" applyFont="1" applyBorder="1" applyAlignment="1"/>
    <xf numFmtId="0" fontId="9" fillId="0" borderId="102" xfId="0" applyFont="1" applyBorder="1" applyAlignment="1"/>
    <xf numFmtId="177" fontId="33" fillId="0" borderId="24" xfId="0" applyNumberFormat="1" applyFont="1" applyBorder="1" applyAlignment="1">
      <alignment horizontal="center"/>
    </xf>
    <xf numFmtId="0" fontId="53" fillId="0" borderId="0" xfId="0" applyFont="1" applyBorder="1" applyAlignment="1">
      <alignment horizontal="center"/>
    </xf>
    <xf numFmtId="177" fontId="33" fillId="0" borderId="17" xfId="0" applyNumberFormat="1" applyFont="1" applyBorder="1" applyAlignment="1"/>
    <xf numFmtId="0" fontId="0" fillId="0" borderId="0" xfId="0" applyAlignment="1"/>
    <xf numFmtId="177" fontId="53" fillId="0" borderId="73" xfId="0" applyNumberFormat="1" applyFont="1" applyBorder="1" applyAlignment="1">
      <alignment horizontal="center"/>
    </xf>
    <xf numFmtId="177" fontId="10" fillId="2" borderId="124" xfId="0" applyNumberFormat="1" applyFont="1" applyFill="1" applyBorder="1" applyAlignment="1">
      <alignment horizontal="left"/>
    </xf>
    <xf numFmtId="0" fontId="0" fillId="0" borderId="125" xfId="0" applyBorder="1" applyAlignment="1"/>
    <xf numFmtId="177" fontId="35" fillId="2" borderId="27" xfId="0" applyNumberFormat="1" applyFont="1" applyFill="1" applyBorder="1" applyAlignment="1">
      <alignment horizontal="left" indent="5"/>
    </xf>
    <xf numFmtId="0" fontId="0" fillId="0" borderId="61" xfId="0" applyBorder="1" applyAlignment="1">
      <alignment horizontal="left" indent="5"/>
    </xf>
    <xf numFmtId="177" fontId="10" fillId="0" borderId="90" xfId="0" applyNumberFormat="1" applyFont="1" applyFill="1" applyBorder="1" applyAlignment="1">
      <alignment horizontal="left"/>
    </xf>
    <xf numFmtId="0" fontId="0" fillId="0" borderId="107" xfId="0" applyFill="1" applyBorder="1" applyAlignment="1"/>
    <xf numFmtId="177" fontId="10" fillId="2" borderId="90" xfId="0" applyNumberFormat="1" applyFont="1" applyFill="1" applyBorder="1" applyAlignment="1">
      <alignment horizontal="left"/>
    </xf>
    <xf numFmtId="1" fontId="34" fillId="2" borderId="118" xfId="0" applyNumberFormat="1" applyFont="1" applyFill="1" applyBorder="1" applyAlignment="1">
      <alignment horizontal="center"/>
    </xf>
    <xf numFmtId="1" fontId="34" fillId="2" borderId="119" xfId="0" applyNumberFormat="1" applyFont="1" applyFill="1" applyBorder="1" applyAlignment="1">
      <alignment horizontal="center"/>
    </xf>
    <xf numFmtId="1" fontId="34" fillId="2" borderId="120" xfId="0" applyNumberFormat="1" applyFont="1" applyFill="1" applyBorder="1" applyAlignment="1">
      <alignment horizontal="center"/>
    </xf>
    <xf numFmtId="177" fontId="34" fillId="2" borderId="8" xfId="0" applyNumberFormat="1" applyFont="1" applyFill="1" applyBorder="1" applyAlignment="1">
      <alignment horizontal="center" wrapText="1"/>
    </xf>
    <xf numFmtId="0" fontId="0" fillId="0" borderId="35" xfId="0" applyBorder="1" applyAlignment="1">
      <alignment horizontal="center" wrapText="1"/>
    </xf>
    <xf numFmtId="177" fontId="34" fillId="2" borderId="55" xfId="0" applyNumberFormat="1" applyFont="1" applyFill="1" applyBorder="1" applyAlignment="1">
      <alignment horizontal="center" wrapText="1"/>
    </xf>
    <xf numFmtId="0" fontId="0" fillId="0" borderId="54" xfId="0" applyBorder="1" applyAlignment="1">
      <alignment horizontal="center" wrapText="1"/>
    </xf>
    <xf numFmtId="177" fontId="34" fillId="2" borderId="121" xfId="0" applyNumberFormat="1" applyFont="1" applyFill="1" applyBorder="1" applyAlignment="1">
      <alignment horizontal="center" wrapText="1"/>
    </xf>
    <xf numFmtId="0" fontId="0" fillId="0" borderId="48" xfId="0" applyBorder="1" applyAlignment="1">
      <alignment wrapText="1"/>
    </xf>
    <xf numFmtId="0" fontId="0" fillId="0" borderId="6" xfId="0" applyBorder="1" applyAlignment="1">
      <alignment wrapText="1"/>
    </xf>
    <xf numFmtId="0" fontId="0" fillId="0" borderId="52" xfId="0" applyBorder="1" applyAlignment="1">
      <alignment wrapText="1"/>
    </xf>
    <xf numFmtId="0" fontId="0" fillId="0" borderId="109" xfId="0" applyBorder="1" applyAlignment="1">
      <alignment wrapText="1"/>
    </xf>
    <xf numFmtId="0" fontId="0" fillId="0" borderId="46" xfId="0" applyBorder="1" applyAlignment="1">
      <alignment wrapText="1"/>
    </xf>
    <xf numFmtId="1" fontId="34" fillId="2" borderId="122" xfId="0" applyNumberFormat="1" applyFont="1" applyFill="1" applyBorder="1" applyAlignment="1">
      <alignment horizontal="center" wrapText="1"/>
    </xf>
    <xf numFmtId="0" fontId="0" fillId="0" borderId="123" xfId="0" applyBorder="1" applyAlignment="1">
      <alignment horizontal="center" wrapText="1"/>
    </xf>
    <xf numFmtId="177" fontId="34" fillId="2" borderId="114" xfId="0" applyNumberFormat="1" applyFont="1" applyFill="1" applyBorder="1" applyAlignment="1">
      <alignment horizontal="center" wrapText="1"/>
    </xf>
    <xf numFmtId="0" fontId="0" fillId="0" borderId="53" xfId="0" applyBorder="1" applyAlignment="1">
      <alignment horizontal="center" wrapText="1"/>
    </xf>
    <xf numFmtId="177" fontId="8" fillId="0" borderId="0" xfId="0" applyNumberFormat="1" applyFont="1" applyBorder="1" applyAlignment="1">
      <alignment horizontal="center"/>
    </xf>
    <xf numFmtId="177" fontId="34" fillId="2" borderId="115" xfId="0" applyNumberFormat="1" applyFont="1" applyFill="1" applyBorder="1" applyAlignment="1">
      <alignment horizontal="center" wrapText="1"/>
    </xf>
    <xf numFmtId="0" fontId="0" fillId="0" borderId="82" xfId="0" applyBorder="1" applyAlignment="1">
      <alignment horizontal="center" wrapText="1"/>
    </xf>
    <xf numFmtId="177" fontId="34" fillId="2" borderId="116" xfId="0" applyNumberFormat="1" applyFont="1" applyFill="1" applyBorder="1" applyAlignment="1">
      <alignment horizontal="center" wrapText="1"/>
    </xf>
    <xf numFmtId="0" fontId="0" fillId="0" borderId="117" xfId="0" applyBorder="1" applyAlignment="1">
      <alignment horizontal="center" wrapText="1"/>
    </xf>
    <xf numFmtId="177" fontId="35" fillId="2" borderId="24" xfId="0" applyNumberFormat="1" applyFont="1" applyFill="1" applyBorder="1" applyAlignment="1">
      <alignment horizontal="left" indent="5"/>
    </xf>
    <xf numFmtId="0" fontId="0" fillId="0" borderId="60" xfId="0" applyBorder="1" applyAlignment="1">
      <alignment horizontal="left" indent="5"/>
    </xf>
    <xf numFmtId="177" fontId="10" fillId="2" borderId="69" xfId="0" applyNumberFormat="1" applyFont="1" applyFill="1" applyBorder="1" applyAlignment="1">
      <alignment horizontal="left"/>
    </xf>
    <xf numFmtId="0" fontId="0" fillId="0" borderId="71" xfId="0" applyBorder="1" applyAlignment="1"/>
    <xf numFmtId="177" fontId="10" fillId="2" borderId="30" xfId="0" applyNumberFormat="1" applyFont="1" applyFill="1" applyBorder="1" applyAlignment="1">
      <alignment horizontal="left"/>
    </xf>
    <xf numFmtId="3" fontId="59" fillId="2" borderId="126" xfId="0" applyNumberFormat="1" applyFont="1" applyFill="1" applyBorder="1" applyAlignment="1">
      <alignment horizontal="center"/>
    </xf>
    <xf numFmtId="0" fontId="53" fillId="0" borderId="126" xfId="0" applyFont="1" applyBorder="1" applyAlignment="1">
      <alignment horizontal="center"/>
    </xf>
    <xf numFmtId="3" fontId="32" fillId="2" borderId="47" xfId="0" applyNumberFormat="1" applyFont="1" applyFill="1" applyBorder="1" applyAlignment="1">
      <alignment horizontal="center" wrapText="1"/>
    </xf>
    <xf numFmtId="0" fontId="0" fillId="0" borderId="50" xfId="0" applyBorder="1" applyAlignment="1">
      <alignment wrapText="1"/>
    </xf>
    <xf numFmtId="0" fontId="0" fillId="0" borderId="127" xfId="0" applyBorder="1" applyAlignment="1">
      <alignment wrapText="1"/>
    </xf>
    <xf numFmtId="0" fontId="0" fillId="0" borderId="128" xfId="0" applyBorder="1" applyAlignment="1">
      <alignment wrapText="1"/>
    </xf>
    <xf numFmtId="0" fontId="0" fillId="0" borderId="49" xfId="0" applyBorder="1" applyAlignment="1">
      <alignment horizontal="center" wrapText="1"/>
    </xf>
    <xf numFmtId="0" fontId="0" fillId="0" borderId="48" xfId="0" applyBorder="1" applyAlignment="1">
      <alignment horizontal="center" wrapText="1"/>
    </xf>
    <xf numFmtId="3" fontId="32" fillId="2" borderId="9" xfId="0" applyNumberFormat="1" applyFont="1" applyFill="1" applyBorder="1" applyAlignment="1">
      <alignment horizontal="center"/>
    </xf>
    <xf numFmtId="3" fontId="32" fillId="2" borderId="0" xfId="0" applyNumberFormat="1" applyFont="1" applyFill="1" applyBorder="1" applyAlignment="1">
      <alignment horizontal="center"/>
    </xf>
    <xf numFmtId="3" fontId="32" fillId="2" borderId="52" xfId="0" applyNumberFormat="1" applyFont="1" applyFill="1" applyBorder="1" applyAlignment="1">
      <alignment horizontal="center"/>
    </xf>
    <xf numFmtId="3" fontId="32" fillId="2" borderId="129" xfId="0" applyNumberFormat="1" applyFont="1" applyFill="1" applyBorder="1" applyAlignment="1">
      <alignment wrapText="1"/>
    </xf>
    <xf numFmtId="0" fontId="0" fillId="0" borderId="130" xfId="0" applyBorder="1" applyAlignment="1">
      <alignment wrapText="1"/>
    </xf>
    <xf numFmtId="0" fontId="0" fillId="0" borderId="131" xfId="0" applyBorder="1" applyAlignment="1">
      <alignment wrapText="1"/>
    </xf>
    <xf numFmtId="3" fontId="32" fillId="2" borderId="48" xfId="0" applyNumberFormat="1" applyFont="1" applyFill="1" applyBorder="1" applyAlignment="1">
      <alignment horizontal="center" wrapText="1"/>
    </xf>
    <xf numFmtId="3" fontId="32" fillId="2" borderId="127" xfId="0" applyNumberFormat="1" applyFont="1" applyFill="1" applyBorder="1" applyAlignment="1">
      <alignment horizontal="center" wrapText="1"/>
    </xf>
    <xf numFmtId="3" fontId="32" fillId="2" borderId="46" xfId="0" applyNumberFormat="1" applyFont="1" applyFill="1" applyBorder="1" applyAlignment="1">
      <alignment horizontal="center" wrapText="1"/>
    </xf>
    <xf numFmtId="177" fontId="42" fillId="2" borderId="0" xfId="0" applyNumberFormat="1" applyFont="1" applyFill="1" applyAlignment="1"/>
    <xf numFmtId="177" fontId="32" fillId="2" borderId="98" xfId="0" applyNumberFormat="1" applyFont="1" applyFill="1" applyBorder="1" applyAlignment="1">
      <alignment horizontal="center" wrapText="1"/>
    </xf>
    <xf numFmtId="0" fontId="0" fillId="0" borderId="97"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wrapText="1"/>
    </xf>
    <xf numFmtId="0" fontId="0" fillId="0" borderId="97" xfId="0" applyBorder="1" applyAlignment="1">
      <alignment wrapText="1"/>
    </xf>
    <xf numFmtId="0" fontId="0" fillId="0" borderId="5" xfId="0" applyBorder="1" applyAlignment="1">
      <alignment wrapText="1"/>
    </xf>
    <xf numFmtId="0" fontId="0" fillId="0" borderId="3" xfId="0" applyBorder="1" applyAlignment="1">
      <alignment wrapText="1"/>
    </xf>
    <xf numFmtId="177" fontId="32" fillId="2" borderId="132" xfId="0" applyNumberFormat="1" applyFont="1" applyFill="1" applyBorder="1" applyAlignment="1">
      <alignment wrapText="1"/>
    </xf>
    <xf numFmtId="0" fontId="0" fillId="0" borderId="93" xfId="0" applyBorder="1" applyAlignment="1">
      <alignment wrapText="1"/>
    </xf>
    <xf numFmtId="177" fontId="57" fillId="2" borderId="0" xfId="0" applyNumberFormat="1" applyFont="1" applyFill="1" applyAlignment="1">
      <alignment horizontal="center"/>
    </xf>
    <xf numFmtId="177" fontId="43" fillId="2" borderId="0" xfId="0" applyNumberFormat="1" applyFont="1" applyFill="1" applyAlignment="1">
      <alignment horizontal="center"/>
    </xf>
    <xf numFmtId="177" fontId="42" fillId="2" borderId="0" xfId="0" applyNumberFormat="1" applyFont="1" applyFill="1" applyAlignment="1">
      <alignment horizontal="center"/>
    </xf>
    <xf numFmtId="177" fontId="10" fillId="0" borderId="30" xfId="0" applyNumberFormat="1" applyFont="1" applyFill="1" applyBorder="1" applyAlignment="1">
      <alignment horizontal="left" indent="2"/>
    </xf>
    <xf numFmtId="0" fontId="0" fillId="0" borderId="103" xfId="0" applyFill="1" applyBorder="1" applyAlignment="1">
      <alignment horizontal="left" indent="2"/>
    </xf>
    <xf numFmtId="0" fontId="0" fillId="0" borderId="84" xfId="0" applyFill="1" applyBorder="1" applyAlignment="1">
      <alignment horizontal="left" indent="2"/>
    </xf>
    <xf numFmtId="177" fontId="34" fillId="0" borderId="30" xfId="0" applyNumberFormat="1" applyFont="1" applyFill="1" applyBorder="1" applyAlignment="1">
      <alignment horizontal="left" indent="2"/>
    </xf>
    <xf numFmtId="0" fontId="68" fillId="0" borderId="103" xfId="0" applyFont="1" applyBorder="1" applyAlignment="1">
      <alignment horizontal="left" indent="2"/>
    </xf>
    <xf numFmtId="0" fontId="68" fillId="0" borderId="84" xfId="0" applyFont="1" applyBorder="1" applyAlignment="1">
      <alignment horizontal="left" indent="2"/>
    </xf>
    <xf numFmtId="177" fontId="10" fillId="2" borderId="69" xfId="0" applyNumberFormat="1" applyFont="1" applyFill="1" applyBorder="1" applyAlignment="1">
      <alignment horizontal="left" indent="1"/>
    </xf>
    <xf numFmtId="0" fontId="52" fillId="0" borderId="70" xfId="0" applyFont="1" applyBorder="1" applyAlignment="1">
      <alignment horizontal="left" indent="1"/>
    </xf>
    <xf numFmtId="0" fontId="52" fillId="0" borderId="71" xfId="0" applyFont="1" applyBorder="1" applyAlignment="1">
      <alignment horizontal="left" indent="1"/>
    </xf>
    <xf numFmtId="177" fontId="10" fillId="2" borderId="124" xfId="0" applyNumberFormat="1" applyFont="1" applyFill="1" applyBorder="1" applyAlignment="1">
      <alignment horizontal="left" indent="1"/>
    </xf>
    <xf numFmtId="0" fontId="0" fillId="0" borderId="133" xfId="0" applyBorder="1" applyAlignment="1">
      <alignment horizontal="left" indent="1"/>
    </xf>
    <xf numFmtId="0" fontId="0" fillId="0" borderId="125" xfId="0" applyBorder="1" applyAlignment="1">
      <alignment horizontal="left" indent="1"/>
    </xf>
    <xf numFmtId="177" fontId="10" fillId="2" borderId="30" xfId="0" applyNumberFormat="1" applyFont="1" applyFill="1" applyBorder="1" applyAlignment="1">
      <alignment horizontal="left" indent="2"/>
    </xf>
    <xf numFmtId="0" fontId="0" fillId="0" borderId="84" xfId="0" applyBorder="1" applyAlignment="1">
      <alignment horizontal="left" indent="2"/>
    </xf>
    <xf numFmtId="177" fontId="10" fillId="2" borderId="30" xfId="0" applyNumberFormat="1" applyFont="1" applyFill="1" applyBorder="1" applyAlignment="1">
      <alignment horizontal="left" indent="1"/>
    </xf>
    <xf numFmtId="0" fontId="0" fillId="0" borderId="103" xfId="0" applyBorder="1" applyAlignment="1">
      <alignment horizontal="left" indent="1"/>
    </xf>
    <xf numFmtId="0" fontId="0" fillId="0" borderId="84" xfId="0" applyBorder="1" applyAlignment="1">
      <alignment horizontal="left" indent="1"/>
    </xf>
    <xf numFmtId="177" fontId="34" fillId="2" borderId="30" xfId="0" applyNumberFormat="1" applyFont="1" applyFill="1" applyBorder="1" applyAlignment="1">
      <alignment horizontal="left" indent="3"/>
    </xf>
    <xf numFmtId="0" fontId="0" fillId="0" borderId="103" xfId="0" applyBorder="1" applyAlignment="1">
      <alignment horizontal="left" indent="3"/>
    </xf>
    <xf numFmtId="177" fontId="12" fillId="0" borderId="0" xfId="0" applyNumberFormat="1" applyFont="1" applyBorder="1" applyAlignment="1">
      <alignment horizontal="center"/>
    </xf>
    <xf numFmtId="177" fontId="34" fillId="2" borderId="24" xfId="0" applyNumberFormat="1" applyFont="1" applyFill="1" applyBorder="1" applyAlignment="1">
      <alignment horizontal="center"/>
    </xf>
    <xf numFmtId="177" fontId="34" fillId="2" borderId="60" xfId="0" applyNumberFormat="1" applyFont="1" applyFill="1" applyBorder="1" applyAlignment="1">
      <alignment horizontal="center"/>
    </xf>
    <xf numFmtId="0" fontId="27" fillId="0" borderId="24" xfId="0" applyFont="1" applyFill="1" applyBorder="1" applyAlignment="1">
      <alignment horizontal="center" wrapText="1"/>
    </xf>
    <xf numFmtId="0" fontId="27" fillId="0" borderId="60" xfId="0" applyFont="1" applyFill="1" applyBorder="1" applyAlignment="1">
      <alignment horizontal="center" wrapText="1"/>
    </xf>
    <xf numFmtId="177" fontId="11" fillId="2" borderId="30" xfId="0" applyNumberFormat="1" applyFont="1" applyFill="1" applyBorder="1" applyAlignment="1">
      <alignment horizontal="left" indent="2"/>
    </xf>
    <xf numFmtId="0" fontId="0" fillId="0" borderId="70" xfId="0" applyBorder="1" applyAlignment="1">
      <alignment horizontal="left" indent="1"/>
    </xf>
    <xf numFmtId="0" fontId="0" fillId="0" borderId="71" xfId="0" applyBorder="1" applyAlignment="1">
      <alignment horizontal="left" indent="1"/>
    </xf>
    <xf numFmtId="177" fontId="13" fillId="0" borderId="0" xfId="0" applyNumberFormat="1" applyFont="1" applyBorder="1" applyAlignment="1">
      <alignment horizontal="center"/>
    </xf>
    <xf numFmtId="177" fontId="15" fillId="0" borderId="0" xfId="0" applyNumberFormat="1" applyFont="1" applyBorder="1" applyAlignment="1">
      <alignment horizontal="center"/>
    </xf>
    <xf numFmtId="177" fontId="10" fillId="2" borderId="17" xfId="0" applyNumberFormat="1" applyFont="1" applyFill="1" applyBorder="1" applyAlignment="1"/>
    <xf numFmtId="177" fontId="10" fillId="2" borderId="104" xfId="0" applyNumberFormat="1" applyFont="1" applyFill="1" applyBorder="1" applyAlignment="1">
      <alignment horizontal="left" indent="2"/>
    </xf>
    <xf numFmtId="177" fontId="34" fillId="2" borderId="24" xfId="0" applyNumberFormat="1" applyFont="1" applyFill="1" applyBorder="1" applyAlignment="1">
      <alignment horizontal="center" wrapText="1"/>
    </xf>
    <xf numFmtId="0" fontId="0" fillId="0" borderId="59" xfId="0" applyBorder="1" applyAlignment="1">
      <alignment horizontal="center" wrapText="1"/>
    </xf>
    <xf numFmtId="177" fontId="56" fillId="0" borderId="0" xfId="0" applyNumberFormat="1" applyFont="1" applyBorder="1" applyAlignment="1">
      <alignment horizontal="center"/>
    </xf>
    <xf numFmtId="0" fontId="52" fillId="0" borderId="103" xfId="0" applyFont="1" applyBorder="1" applyAlignment="1">
      <alignment horizontal="left" indent="2"/>
    </xf>
    <xf numFmtId="0" fontId="52" fillId="0" borderId="84" xfId="0" applyFont="1" applyBorder="1" applyAlignment="1">
      <alignment horizontal="left" indent="2"/>
    </xf>
    <xf numFmtId="0" fontId="9" fillId="2" borderId="0" xfId="6" applyFont="1" applyFill="1" applyAlignment="1">
      <alignment horizontal="left" wrapText="1"/>
    </xf>
    <xf numFmtId="0" fontId="9" fillId="0" borderId="0" xfId="6" applyFont="1" applyFill="1" applyAlignment="1">
      <alignment horizontal="left" vertical="center" wrapText="1"/>
    </xf>
    <xf numFmtId="0" fontId="9" fillId="0" borderId="0" xfId="6" applyFont="1" applyFill="1" applyAlignment="1">
      <alignment horizontal="left" wrapText="1"/>
    </xf>
    <xf numFmtId="0" fontId="22" fillId="2" borderId="0" xfId="6" applyFont="1" applyFill="1" applyAlignment="1">
      <alignment horizontal="left" wrapText="1"/>
    </xf>
    <xf numFmtId="0" fontId="9" fillId="2" borderId="0" xfId="6" applyFont="1" applyFill="1" applyAlignment="1">
      <alignment horizontal="left" vertical="center" wrapText="1"/>
    </xf>
    <xf numFmtId="0" fontId="22" fillId="0" borderId="0" xfId="6" applyFont="1" applyFill="1" applyAlignment="1">
      <alignment horizontal="left" wrapText="1"/>
    </xf>
    <xf numFmtId="3" fontId="23" fillId="0" borderId="0" xfId="0" applyNumberFormat="1" applyFont="1" applyAlignment="1">
      <alignment horizontal="center"/>
    </xf>
    <xf numFmtId="3" fontId="22" fillId="2" borderId="0" xfId="6" applyNumberFormat="1" applyFont="1" applyFill="1" applyAlignment="1">
      <alignment horizontal="center"/>
    </xf>
    <xf numFmtId="0" fontId="22" fillId="2" borderId="0" xfId="6" applyFont="1" applyFill="1" applyAlignment="1">
      <alignment horizontal="center"/>
    </xf>
    <xf numFmtId="3" fontId="9" fillId="2" borderId="0" xfId="6" applyNumberFormat="1" applyFont="1" applyFill="1" applyAlignment="1">
      <alignment horizontal="center"/>
    </xf>
    <xf numFmtId="0" fontId="9" fillId="2" borderId="0" xfId="6" applyFont="1" applyFill="1" applyAlignment="1">
      <alignment horizontal="center"/>
    </xf>
    <xf numFmtId="0" fontId="73" fillId="2" borderId="0" xfId="6" applyFont="1" applyFill="1" applyAlignment="1">
      <alignment horizontal="center"/>
    </xf>
  </cellXfs>
  <cellStyles count="7">
    <cellStyle name="Comma" xfId="1" builtinId="3"/>
    <cellStyle name="Currency" xfId="2" builtinId="4"/>
    <cellStyle name="Normal" xfId="0" builtinId="0"/>
    <cellStyle name="Normal_Appendix Exhibits.FINAL" xfId="3"/>
    <cellStyle name="Normal_Improve by DU" xfId="4"/>
    <cellStyle name="Normal_Rsrcs_X_ DOJ Goal  Obj" xfId="5"/>
    <cellStyle name="Normal_Sheet1"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180975</xdr:rowOff>
    </xdr:from>
    <xdr:to>
      <xdr:col>12</xdr:col>
      <xdr:colOff>952500</xdr:colOff>
      <xdr:row>28</xdr:row>
      <xdr:rowOff>1085850</xdr:rowOff>
    </xdr:to>
    <xdr:pic>
      <xdr:nvPicPr>
        <xdr:cNvPr id="1290"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209550" y="438150"/>
          <a:ext cx="9886950" cy="6048375"/>
        </a:xfrm>
        <a:prstGeom prst="rect">
          <a:avLst/>
        </a:prstGeom>
        <a:noFill/>
        <a:ln w="9525">
          <a:solidFill>
            <a:srgbClr val="000000"/>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_Staff/2006%20Congressional%20Submission/Instructions/excel%20templa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_Staff/2007%20Products/FY07%20Formulation/FY07%20Congressional%20Submission/FY07%20Congressional%20Budget%20Instructions/FY07%20Perf%20Budget%20Cong%20Exhibits%20Template%20Version%20Fina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q1-fpi\fmd_budget\BUDGET\2011Cong\Backup\Exhibits\FY11%20Template%20-%20CJ%20Submission%20508%20Compliant%20-%201%206%2010%20payroll%20input%20draf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05 XWalk"/>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A) Org Chart"/>
      <sheetName val="(B) Approp Lang"/>
      <sheetName val="(C) Sum of Req "/>
      <sheetName val="(D) Increases Offsets"/>
      <sheetName val="(E) Strat Goal &amp; Obj"/>
      <sheetName val="(F) ATB Justification"/>
      <sheetName val="(G) 2005 XWalk"/>
      <sheetName val="(H) 2006 XWalk"/>
      <sheetName val="(I) Reimb Resources"/>
      <sheetName val="(J) Perm Positions"/>
      <sheetName val="(K) Summ Atty Agt"/>
      <sheetName val="(L) Financial Analysis"/>
      <sheetName val="(M) Sum by Grade"/>
      <sheetName val="(N) Sum by OC"/>
      <sheetName val="(O) Cong Reports"/>
    </sheetNames>
    <sheetDataSet>
      <sheetData sheetId="0"/>
      <sheetData sheetId="1"/>
      <sheetData sheetId="2"/>
      <sheetData sheetId="3">
        <row r="7">
          <cell r="A7" t="str">
            <v>(Dollars in Thousands)</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09 Crosswalk"/>
      <sheetName val="G. 2010 Crosswalk"/>
      <sheetName val="H. Reimbursable Resources"/>
      <sheetName val="I. Permanent Positions"/>
      <sheetName val="J. Financial Analysis"/>
      <sheetName val="K. Summary by Grade"/>
      <sheetName val="L. Summary by Object Class"/>
      <sheetName val="M. Studies"/>
    </sheetNames>
    <sheetDataSet>
      <sheetData sheetId="0"/>
      <sheetData sheetId="1"/>
      <sheetData sheetId="2">
        <row r="83">
          <cell r="L83">
            <v>55</v>
          </cell>
          <cell r="AB83">
            <v>64</v>
          </cell>
        </row>
        <row r="87">
          <cell r="AB87">
            <v>654</v>
          </cell>
        </row>
        <row r="88">
          <cell r="AB88">
            <v>25</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9"/>
  <sheetViews>
    <sheetView tabSelected="1" view="pageBreakPreview" zoomScale="70" zoomScaleNormal="100" zoomScaleSheetLayoutView="70" workbookViewId="0"/>
  </sheetViews>
  <sheetFormatPr defaultRowHeight="15"/>
  <cols>
    <col min="13" max="13" width="12.21875" customWidth="1"/>
    <col min="14" max="14" width="1.5546875" style="184" customWidth="1"/>
  </cols>
  <sheetData>
    <row r="1" spans="1:14" ht="20.25">
      <c r="A1" s="335" t="s">
        <v>206</v>
      </c>
      <c r="N1" s="184" t="s">
        <v>1</v>
      </c>
    </row>
    <row r="2" spans="1:14">
      <c r="N2" s="184" t="s">
        <v>1</v>
      </c>
    </row>
    <row r="3" spans="1:14">
      <c r="N3" s="184" t="s">
        <v>1</v>
      </c>
    </row>
    <row r="4" spans="1:14">
      <c r="N4" s="184" t="s">
        <v>1</v>
      </c>
    </row>
    <row r="5" spans="1:14">
      <c r="N5" s="184" t="s">
        <v>1</v>
      </c>
    </row>
    <row r="6" spans="1:14">
      <c r="N6" s="184" t="s">
        <v>1</v>
      </c>
    </row>
    <row r="7" spans="1:14">
      <c r="N7" s="184" t="s">
        <v>1</v>
      </c>
    </row>
    <row r="8" spans="1:14">
      <c r="N8" s="184" t="s">
        <v>1</v>
      </c>
    </row>
    <row r="9" spans="1:14">
      <c r="N9" s="184" t="s">
        <v>1</v>
      </c>
    </row>
    <row r="10" spans="1:14">
      <c r="N10" s="184" t="s">
        <v>1</v>
      </c>
    </row>
    <row r="11" spans="1:14">
      <c r="N11" s="184" t="s">
        <v>1</v>
      </c>
    </row>
    <row r="12" spans="1:14">
      <c r="N12" s="184" t="s">
        <v>1</v>
      </c>
    </row>
    <row r="13" spans="1:14">
      <c r="N13" s="184" t="s">
        <v>1</v>
      </c>
    </row>
    <row r="14" spans="1:14">
      <c r="N14" s="184" t="s">
        <v>1</v>
      </c>
    </row>
    <row r="15" spans="1:14">
      <c r="N15" s="184" t="s">
        <v>1</v>
      </c>
    </row>
    <row r="16" spans="1:14">
      <c r="N16" s="184" t="s">
        <v>1</v>
      </c>
    </row>
    <row r="17" spans="1:14">
      <c r="N17" s="184" t="s">
        <v>1</v>
      </c>
    </row>
    <row r="18" spans="1:14">
      <c r="N18" s="184" t="s">
        <v>1</v>
      </c>
    </row>
    <row r="19" spans="1:14">
      <c r="N19" s="184" t="s">
        <v>1</v>
      </c>
    </row>
    <row r="20" spans="1:14">
      <c r="N20" s="184" t="s">
        <v>1</v>
      </c>
    </row>
    <row r="21" spans="1:14">
      <c r="N21" s="184" t="s">
        <v>1</v>
      </c>
    </row>
    <row r="22" spans="1:14">
      <c r="N22" s="184" t="s">
        <v>1</v>
      </c>
    </row>
    <row r="23" spans="1:14">
      <c r="N23" s="184" t="s">
        <v>1</v>
      </c>
    </row>
    <row r="24" spans="1:14">
      <c r="N24" s="184" t="s">
        <v>1</v>
      </c>
    </row>
    <row r="25" spans="1:14">
      <c r="N25" s="184" t="s">
        <v>1</v>
      </c>
    </row>
    <row r="26" spans="1:14">
      <c r="N26" s="184" t="s">
        <v>1</v>
      </c>
    </row>
    <row r="27" spans="1:14">
      <c r="N27" s="184" t="s">
        <v>1</v>
      </c>
    </row>
    <row r="28" spans="1:14">
      <c r="N28" s="184" t="s">
        <v>1</v>
      </c>
    </row>
    <row r="29" spans="1:14" ht="100.5" customHeight="1">
      <c r="A29" s="477"/>
      <c r="B29" s="478"/>
      <c r="C29" s="478"/>
      <c r="D29" s="478"/>
      <c r="E29" s="478"/>
      <c r="F29" s="478"/>
      <c r="G29" s="478"/>
      <c r="H29" s="478"/>
      <c r="I29" s="478"/>
      <c r="J29" s="478"/>
      <c r="K29" s="478"/>
      <c r="L29" s="478"/>
      <c r="M29" s="478"/>
      <c r="N29" s="184" t="s">
        <v>41</v>
      </c>
    </row>
  </sheetData>
  <mergeCells count="1">
    <mergeCell ref="A29:M29"/>
  </mergeCells>
  <phoneticPr fontId="0" type="noConversion"/>
  <printOptions horizontalCentered="1"/>
  <pageMargins left="0.75" right="0.75" top="1" bottom="1" header="0.5" footer="0.5"/>
  <pageSetup scale="84"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dimension ref="A1:Y49"/>
  <sheetViews>
    <sheetView view="pageBreakPreview" zoomScale="50" zoomScaleNormal="90" zoomScaleSheetLayoutView="50" workbookViewId="0">
      <selection activeCell="E9" sqref="E9:F9"/>
    </sheetView>
  </sheetViews>
  <sheetFormatPr defaultRowHeight="15"/>
  <cols>
    <col min="1" max="1" width="1.44140625" customWidth="1"/>
    <col min="2" max="2" width="48" customWidth="1"/>
    <col min="3" max="10" width="9.77734375" customWidth="1"/>
    <col min="11" max="11" width="0.6640625" style="192" customWidth="1"/>
  </cols>
  <sheetData>
    <row r="1" spans="1:11" ht="30">
      <c r="A1" s="140" t="s">
        <v>47</v>
      </c>
      <c r="B1" s="141"/>
      <c r="C1" s="35"/>
      <c r="D1" s="35"/>
      <c r="E1" s="35"/>
      <c r="F1" s="35"/>
      <c r="G1" s="35"/>
      <c r="H1" s="35"/>
      <c r="I1" s="35"/>
      <c r="J1" s="38"/>
      <c r="K1" s="189" t="s">
        <v>1</v>
      </c>
    </row>
    <row r="2" spans="1:11" ht="13.15" customHeight="1">
      <c r="A2" s="39"/>
      <c r="B2" s="35"/>
      <c r="C2" s="35"/>
      <c r="D2" s="35"/>
      <c r="E2" s="35"/>
      <c r="F2" s="35"/>
      <c r="G2" s="35"/>
      <c r="H2" s="35"/>
      <c r="I2" s="35"/>
      <c r="J2" s="38"/>
      <c r="K2" s="189" t="s">
        <v>1</v>
      </c>
    </row>
    <row r="3" spans="1:11" ht="18.75">
      <c r="A3" s="34"/>
      <c r="B3" s="17" t="s">
        <v>14</v>
      </c>
      <c r="C3" s="36"/>
      <c r="D3" s="36"/>
      <c r="E3" s="36"/>
      <c r="F3" s="36"/>
      <c r="G3" s="36"/>
      <c r="H3" s="36"/>
      <c r="I3" s="36"/>
      <c r="J3" s="142"/>
      <c r="K3" s="189" t="s">
        <v>1</v>
      </c>
    </row>
    <row r="4" spans="1:11" ht="16.5">
      <c r="A4" s="69"/>
      <c r="B4" s="19" t="str">
        <f>+'B. Summary of Requirements '!A5</f>
        <v>Bureau of Alcohol, Tobacco, Firearms and Explosives</v>
      </c>
      <c r="C4" s="36"/>
      <c r="D4" s="36"/>
      <c r="E4" s="36"/>
      <c r="F4" s="36"/>
      <c r="G4" s="36"/>
      <c r="H4" s="36"/>
      <c r="I4" s="36"/>
      <c r="J4" s="142"/>
      <c r="K4" s="189" t="s">
        <v>1</v>
      </c>
    </row>
    <row r="5" spans="1:11" ht="16.5">
      <c r="A5" s="34"/>
      <c r="B5" s="19" t="str">
        <f>+'B. Summary of Requirements '!A6</f>
        <v>Salaries and Expenses</v>
      </c>
      <c r="C5" s="36"/>
      <c r="D5" s="36"/>
      <c r="E5" s="36"/>
      <c r="F5" s="36"/>
      <c r="G5" s="36"/>
      <c r="H5" s="36"/>
      <c r="I5" s="36"/>
      <c r="J5" s="142"/>
      <c r="K5" s="189" t="s">
        <v>1</v>
      </c>
    </row>
    <row r="6" spans="1:11" ht="15.75">
      <c r="A6" s="34"/>
      <c r="B6" s="65" t="s">
        <v>204</v>
      </c>
      <c r="C6" s="36"/>
      <c r="D6" s="36"/>
      <c r="E6" s="36"/>
      <c r="F6" s="36"/>
      <c r="G6" s="36"/>
      <c r="H6" s="36"/>
      <c r="I6" s="36"/>
      <c r="J6" s="142"/>
      <c r="K6" s="189" t="s">
        <v>1</v>
      </c>
    </row>
    <row r="7" spans="1:11" ht="15.75">
      <c r="A7" s="34"/>
      <c r="B7" s="36"/>
      <c r="C7" s="37"/>
      <c r="D7" s="142"/>
      <c r="E7" s="142"/>
      <c r="F7" s="142"/>
      <c r="G7" s="142"/>
      <c r="H7" s="142"/>
      <c r="I7" s="36"/>
      <c r="J7" s="143"/>
      <c r="K7" s="189" t="s">
        <v>1</v>
      </c>
    </row>
    <row r="8" spans="1:11" ht="15.75" customHeight="1">
      <c r="A8" s="34"/>
      <c r="B8" s="766" t="s">
        <v>203</v>
      </c>
      <c r="C8" s="757" t="s">
        <v>336</v>
      </c>
      <c r="D8" s="769"/>
      <c r="E8" s="757" t="s">
        <v>296</v>
      </c>
      <c r="F8" s="761"/>
      <c r="G8" s="761"/>
      <c r="H8" s="762"/>
      <c r="I8" s="757" t="s">
        <v>146</v>
      </c>
      <c r="J8" s="758"/>
      <c r="K8" s="189" t="s">
        <v>1</v>
      </c>
    </row>
    <row r="9" spans="1:11" ht="35.25" customHeight="1">
      <c r="A9" s="34"/>
      <c r="B9" s="767"/>
      <c r="C9" s="770"/>
      <c r="D9" s="771"/>
      <c r="E9" s="763" t="s">
        <v>294</v>
      </c>
      <c r="F9" s="764"/>
      <c r="G9" s="764" t="s">
        <v>15</v>
      </c>
      <c r="H9" s="765"/>
      <c r="I9" s="759"/>
      <c r="J9" s="760"/>
      <c r="K9" s="189" t="s">
        <v>1</v>
      </c>
    </row>
    <row r="10" spans="1:11" ht="16.5" thickBot="1">
      <c r="A10" s="34"/>
      <c r="B10" s="768"/>
      <c r="C10" s="116" t="s">
        <v>225</v>
      </c>
      <c r="D10" s="117" t="s">
        <v>202</v>
      </c>
      <c r="E10" s="116" t="s">
        <v>225</v>
      </c>
      <c r="F10" s="117" t="s">
        <v>202</v>
      </c>
      <c r="G10" s="144" t="s">
        <v>225</v>
      </c>
      <c r="H10" s="392" t="s">
        <v>202</v>
      </c>
      <c r="I10" s="116" t="s">
        <v>225</v>
      </c>
      <c r="J10" s="148" t="s">
        <v>202</v>
      </c>
      <c r="K10" s="189" t="s">
        <v>1</v>
      </c>
    </row>
    <row r="11" spans="1:11" ht="15.75">
      <c r="A11" s="34"/>
      <c r="B11" s="113" t="s">
        <v>112</v>
      </c>
      <c r="C11" s="249"/>
      <c r="D11" s="250"/>
      <c r="E11" s="249"/>
      <c r="F11" s="250"/>
      <c r="G11" s="251"/>
      <c r="H11" s="251"/>
      <c r="I11" s="253">
        <f>C11+E11+G11</f>
        <v>0</v>
      </c>
      <c r="J11" s="254">
        <f>D11+F11+H11</f>
        <v>0</v>
      </c>
      <c r="K11" s="189" t="s">
        <v>1</v>
      </c>
    </row>
    <row r="12" spans="1:11" ht="15.75">
      <c r="A12" s="34"/>
      <c r="B12" s="113" t="s">
        <v>113</v>
      </c>
      <c r="C12" s="249"/>
      <c r="D12" s="250"/>
      <c r="E12" s="249"/>
      <c r="F12" s="250"/>
      <c r="G12" s="251"/>
      <c r="H12" s="251"/>
      <c r="I12" s="253">
        <f t="shared" ref="I12:I21" si="0">C12+E12+G12</f>
        <v>0</v>
      </c>
      <c r="J12" s="254">
        <f t="shared" ref="J12:J21" si="1">D12+F12+H12</f>
        <v>0</v>
      </c>
      <c r="K12" s="189" t="s">
        <v>1</v>
      </c>
    </row>
    <row r="13" spans="1:11" ht="15.75">
      <c r="A13" s="34"/>
      <c r="B13" s="113" t="s">
        <v>117</v>
      </c>
      <c r="C13" s="249"/>
      <c r="D13" s="250"/>
      <c r="E13" s="249"/>
      <c r="F13" s="250"/>
      <c r="G13" s="251"/>
      <c r="H13" s="251"/>
      <c r="I13" s="253">
        <f t="shared" si="0"/>
        <v>0</v>
      </c>
      <c r="J13" s="254">
        <f t="shared" si="1"/>
        <v>0</v>
      </c>
      <c r="K13" s="189" t="s">
        <v>1</v>
      </c>
    </row>
    <row r="14" spans="1:11" ht="15.75">
      <c r="A14" s="34"/>
      <c r="B14" s="113" t="s">
        <v>118</v>
      </c>
      <c r="C14" s="249"/>
      <c r="D14" s="250"/>
      <c r="E14" s="249"/>
      <c r="F14" s="250"/>
      <c r="G14" s="251"/>
      <c r="H14" s="251"/>
      <c r="I14" s="253">
        <f t="shared" si="0"/>
        <v>0</v>
      </c>
      <c r="J14" s="254">
        <f t="shared" si="1"/>
        <v>0</v>
      </c>
      <c r="K14" s="189" t="s">
        <v>1</v>
      </c>
    </row>
    <row r="15" spans="1:11" ht="15.75">
      <c r="A15" s="34"/>
      <c r="B15" s="113" t="s">
        <v>119</v>
      </c>
      <c r="C15" s="249"/>
      <c r="D15" s="250"/>
      <c r="E15" s="249"/>
      <c r="F15" s="250"/>
      <c r="G15" s="251"/>
      <c r="H15" s="251"/>
      <c r="I15" s="253">
        <f t="shared" si="0"/>
        <v>0</v>
      </c>
      <c r="J15" s="254">
        <f t="shared" si="1"/>
        <v>0</v>
      </c>
      <c r="K15" s="189" t="s">
        <v>1</v>
      </c>
    </row>
    <row r="16" spans="1:11" ht="15.75">
      <c r="A16" s="34"/>
      <c r="B16" s="113" t="s">
        <v>120</v>
      </c>
      <c r="C16" s="249">
        <v>37</v>
      </c>
      <c r="D16" s="250">
        <v>4574</v>
      </c>
      <c r="E16" s="249"/>
      <c r="F16" s="250"/>
      <c r="G16" s="251"/>
      <c r="H16" s="251"/>
      <c r="I16" s="253">
        <f t="shared" si="0"/>
        <v>37</v>
      </c>
      <c r="J16" s="254">
        <f t="shared" si="1"/>
        <v>4574</v>
      </c>
      <c r="K16" s="189" t="s">
        <v>1</v>
      </c>
    </row>
    <row r="17" spans="1:11" ht="15.75">
      <c r="A17" s="34"/>
      <c r="B17" s="113" t="s">
        <v>121</v>
      </c>
      <c r="C17" s="249"/>
      <c r="D17" s="250"/>
      <c r="E17" s="249"/>
      <c r="F17" s="250"/>
      <c r="G17" s="251"/>
      <c r="H17" s="251"/>
      <c r="I17" s="253">
        <f t="shared" si="0"/>
        <v>0</v>
      </c>
      <c r="J17" s="254">
        <f t="shared" si="1"/>
        <v>0</v>
      </c>
      <c r="K17" s="189" t="s">
        <v>1</v>
      </c>
    </row>
    <row r="18" spans="1:11" ht="15.75">
      <c r="A18" s="34"/>
      <c r="B18" s="113" t="s">
        <v>122</v>
      </c>
      <c r="C18" s="249"/>
      <c r="D18" s="250"/>
      <c r="E18" s="390">
        <v>7</v>
      </c>
      <c r="F18" s="391">
        <v>443</v>
      </c>
      <c r="G18" s="251"/>
      <c r="H18" s="251"/>
      <c r="I18" s="253">
        <f t="shared" si="0"/>
        <v>7</v>
      </c>
      <c r="J18" s="254">
        <f t="shared" si="1"/>
        <v>443</v>
      </c>
      <c r="K18" s="189" t="s">
        <v>1</v>
      </c>
    </row>
    <row r="19" spans="1:11" ht="15.75">
      <c r="A19" s="34"/>
      <c r="B19" s="113" t="s">
        <v>123</v>
      </c>
      <c r="C19" s="249"/>
      <c r="D19" s="250"/>
      <c r="E19" s="249"/>
      <c r="F19" s="250"/>
      <c r="G19" s="251"/>
      <c r="H19" s="251"/>
      <c r="I19" s="253">
        <f t="shared" si="0"/>
        <v>0</v>
      </c>
      <c r="J19" s="254">
        <f t="shared" si="1"/>
        <v>0</v>
      </c>
      <c r="K19" s="189" t="s">
        <v>1</v>
      </c>
    </row>
    <row r="20" spans="1:11" ht="15.75">
      <c r="A20" s="34"/>
      <c r="B20" s="113" t="s">
        <v>124</v>
      </c>
      <c r="C20" s="249"/>
      <c r="D20" s="250"/>
      <c r="E20" s="249"/>
      <c r="F20" s="250"/>
      <c r="G20" s="251"/>
      <c r="H20" s="251"/>
      <c r="I20" s="253">
        <f t="shared" si="0"/>
        <v>0</v>
      </c>
      <c r="J20" s="254">
        <f t="shared" si="1"/>
        <v>0</v>
      </c>
      <c r="K20" s="189" t="s">
        <v>1</v>
      </c>
    </row>
    <row r="21" spans="1:11" ht="15.75">
      <c r="A21" s="34"/>
      <c r="B21" s="115" t="s">
        <v>125</v>
      </c>
      <c r="C21" s="255"/>
      <c r="D21" s="256"/>
      <c r="E21" s="255"/>
      <c r="F21" s="256"/>
      <c r="G21" s="251"/>
      <c r="H21" s="251"/>
      <c r="I21" s="253">
        <f t="shared" si="0"/>
        <v>0</v>
      </c>
      <c r="J21" s="254">
        <f t="shared" si="1"/>
        <v>0</v>
      </c>
      <c r="K21" s="189" t="s">
        <v>1</v>
      </c>
    </row>
    <row r="22" spans="1:11" ht="15.75">
      <c r="A22" s="34"/>
      <c r="B22" s="70"/>
      <c r="C22" s="257"/>
      <c r="D22" s="258"/>
      <c r="E22" s="257"/>
      <c r="F22" s="258"/>
      <c r="G22" s="259"/>
      <c r="H22" s="259"/>
      <c r="I22" s="257"/>
      <c r="J22" s="260"/>
      <c r="K22" s="189" t="s">
        <v>1</v>
      </c>
    </row>
    <row r="23" spans="1:11" ht="15.75">
      <c r="A23" s="34"/>
      <c r="B23" s="113" t="s">
        <v>16</v>
      </c>
      <c r="C23" s="249">
        <f>SUM(C11:C21)</f>
        <v>37</v>
      </c>
      <c r="D23" s="250">
        <f>SUM(D11:D21)</f>
        <v>4574</v>
      </c>
      <c r="E23" s="249">
        <f>SUM(E11:E21)</f>
        <v>7</v>
      </c>
      <c r="F23" s="250">
        <f>SUM(F11:F21)</f>
        <v>443</v>
      </c>
      <c r="G23" s="249">
        <f>SUM(G11:G21)</f>
        <v>0</v>
      </c>
      <c r="H23" s="250">
        <f>SUM(H11:H21)</f>
        <v>0</v>
      </c>
      <c r="I23" s="249">
        <f>SUM(I11:I21)</f>
        <v>44</v>
      </c>
      <c r="J23" s="252">
        <f>SUM(J11:J21)</f>
        <v>5017</v>
      </c>
      <c r="K23" s="189" t="s">
        <v>1</v>
      </c>
    </row>
    <row r="24" spans="1:11" ht="15.75">
      <c r="A24" s="34"/>
      <c r="B24" s="114" t="s">
        <v>17</v>
      </c>
      <c r="C24" s="249">
        <f>+C23/-2</f>
        <v>-18.5</v>
      </c>
      <c r="D24" s="250">
        <f>+D23/-2</f>
        <v>-2287</v>
      </c>
      <c r="E24" s="390">
        <v>-4</v>
      </c>
      <c r="F24" s="250">
        <f>+F23/-2</f>
        <v>-221.5</v>
      </c>
      <c r="G24" s="249">
        <f>+G23/-2</f>
        <v>0</v>
      </c>
      <c r="H24" s="250">
        <f>+H23/-2</f>
        <v>0</v>
      </c>
      <c r="I24" s="253">
        <f>C24+E24+G24</f>
        <v>-22.5</v>
      </c>
      <c r="J24" s="254">
        <f>D24+F24+H24</f>
        <v>-2508.5</v>
      </c>
      <c r="K24" s="189" t="s">
        <v>1</v>
      </c>
    </row>
    <row r="25" spans="1:11" ht="15.75">
      <c r="A25" s="34"/>
      <c r="B25" s="115" t="s">
        <v>18</v>
      </c>
      <c r="C25" s="261"/>
      <c r="D25" s="256">
        <v>465</v>
      </c>
      <c r="E25" s="261"/>
      <c r="F25" s="256">
        <v>23</v>
      </c>
      <c r="G25" s="261"/>
      <c r="H25" s="256"/>
      <c r="I25" s="261"/>
      <c r="J25" s="393">
        <f>D25+F25+H25</f>
        <v>488</v>
      </c>
      <c r="K25" s="189" t="s">
        <v>1</v>
      </c>
    </row>
    <row r="26" spans="1:11" ht="15.75">
      <c r="A26" s="34"/>
      <c r="B26" s="395"/>
      <c r="C26" s="262"/>
      <c r="D26" s="258"/>
      <c r="E26" s="262"/>
      <c r="F26" s="258"/>
      <c r="G26" s="262"/>
      <c r="H26" s="258"/>
      <c r="I26" s="262"/>
      <c r="J26" s="260"/>
      <c r="K26" s="189" t="s">
        <v>1</v>
      </c>
    </row>
    <row r="27" spans="1:11" ht="15.75">
      <c r="A27" s="34"/>
      <c r="B27" s="396"/>
      <c r="C27" s="262"/>
      <c r="D27" s="263"/>
      <c r="E27" s="262"/>
      <c r="F27" s="263"/>
      <c r="G27" s="262"/>
      <c r="H27" s="263"/>
      <c r="I27" s="262"/>
      <c r="J27" s="268"/>
      <c r="K27" s="189" t="s">
        <v>1</v>
      </c>
    </row>
    <row r="28" spans="1:11" ht="15.75">
      <c r="A28" s="34"/>
      <c r="B28" s="397" t="s">
        <v>19</v>
      </c>
      <c r="C28" s="274">
        <v>37</v>
      </c>
      <c r="D28" s="265">
        <f>SUM(D23:D25)</f>
        <v>2752</v>
      </c>
      <c r="E28" s="264">
        <f>SUM(E23:E25)</f>
        <v>3</v>
      </c>
      <c r="F28" s="265">
        <f>SUM(F23:F25)</f>
        <v>244.5</v>
      </c>
      <c r="G28" s="264">
        <f>SUM(G23:G25)</f>
        <v>0</v>
      </c>
      <c r="H28" s="265">
        <f>SUM(H23:H25)</f>
        <v>0</v>
      </c>
      <c r="I28" s="264">
        <f>C28+E28+G28</f>
        <v>40</v>
      </c>
      <c r="J28" s="394">
        <f>D28+F28+H28</f>
        <v>2996.5</v>
      </c>
      <c r="K28" s="189" t="s">
        <v>1</v>
      </c>
    </row>
    <row r="29" spans="1:11" ht="15.75">
      <c r="A29" s="34"/>
      <c r="B29" s="70"/>
      <c r="C29" s="255"/>
      <c r="D29" s="266"/>
      <c r="E29" s="255"/>
      <c r="F29" s="263"/>
      <c r="G29" s="255"/>
      <c r="H29" s="263"/>
      <c r="I29" s="267"/>
      <c r="J29" s="398"/>
      <c r="K29" s="189" t="s">
        <v>1</v>
      </c>
    </row>
    <row r="30" spans="1:11" ht="15.75">
      <c r="A30" s="34"/>
      <c r="B30" s="113" t="s">
        <v>126</v>
      </c>
      <c r="C30" s="249"/>
      <c r="D30" s="269">
        <v>2891</v>
      </c>
      <c r="E30" s="390"/>
      <c r="F30" s="391">
        <v>93</v>
      </c>
      <c r="G30" s="390"/>
      <c r="H30" s="391"/>
      <c r="I30" s="251">
        <f t="shared" ref="I30:I43" si="2">C30+E30+G30</f>
        <v>0</v>
      </c>
      <c r="J30" s="252">
        <f t="shared" ref="J30:J43" si="3">D30+F30+H30</f>
        <v>2984</v>
      </c>
      <c r="K30" s="189" t="s">
        <v>1</v>
      </c>
    </row>
    <row r="31" spans="1:11" ht="15.75">
      <c r="A31" s="34"/>
      <c r="B31" s="113" t="s">
        <v>131</v>
      </c>
      <c r="C31" s="249"/>
      <c r="D31" s="250">
        <v>545</v>
      </c>
      <c r="E31" s="390"/>
      <c r="F31" s="391">
        <v>131</v>
      </c>
      <c r="G31" s="390"/>
      <c r="H31" s="391">
        <v>-907</v>
      </c>
      <c r="I31" s="253">
        <f t="shared" si="2"/>
        <v>0</v>
      </c>
      <c r="J31" s="254">
        <f t="shared" si="3"/>
        <v>-231</v>
      </c>
      <c r="K31" s="189" t="s">
        <v>1</v>
      </c>
    </row>
    <row r="32" spans="1:11" ht="15.75">
      <c r="A32" s="34"/>
      <c r="B32" s="113" t="s">
        <v>127</v>
      </c>
      <c r="C32" s="249"/>
      <c r="D32" s="250">
        <v>137</v>
      </c>
      <c r="E32" s="390"/>
      <c r="F32" s="391">
        <v>1</v>
      </c>
      <c r="G32" s="251"/>
      <c r="H32" s="251"/>
      <c r="I32" s="253">
        <f t="shared" si="2"/>
        <v>0</v>
      </c>
      <c r="J32" s="254">
        <f t="shared" si="3"/>
        <v>138</v>
      </c>
      <c r="K32" s="189" t="s">
        <v>1</v>
      </c>
    </row>
    <row r="33" spans="1:25" ht="15.75">
      <c r="A33" s="34"/>
      <c r="B33" s="113" t="s">
        <v>132</v>
      </c>
      <c r="C33" s="249"/>
      <c r="D33" s="250">
        <v>1036</v>
      </c>
      <c r="E33" s="390"/>
      <c r="F33" s="463">
        <v>0</v>
      </c>
      <c r="G33" s="251"/>
      <c r="H33" s="251"/>
      <c r="I33" s="253">
        <f t="shared" si="2"/>
        <v>0</v>
      </c>
      <c r="J33" s="254">
        <f t="shared" si="3"/>
        <v>1036</v>
      </c>
      <c r="K33" s="189" t="s">
        <v>1</v>
      </c>
    </row>
    <row r="34" spans="1:25" ht="15.75">
      <c r="A34" s="34"/>
      <c r="B34" s="113" t="s">
        <v>133</v>
      </c>
      <c r="C34" s="249"/>
      <c r="D34" s="250">
        <v>287</v>
      </c>
      <c r="E34" s="390"/>
      <c r="F34" s="391">
        <v>23</v>
      </c>
      <c r="G34" s="251"/>
      <c r="H34" s="251"/>
      <c r="I34" s="253">
        <f t="shared" si="2"/>
        <v>0</v>
      </c>
      <c r="J34" s="254">
        <f t="shared" si="3"/>
        <v>310</v>
      </c>
      <c r="K34" s="189" t="s">
        <v>1</v>
      </c>
    </row>
    <row r="35" spans="1:25" ht="15.75">
      <c r="A35" s="34"/>
      <c r="B35" s="113" t="s">
        <v>128</v>
      </c>
      <c r="C35" s="249"/>
      <c r="D35" s="250">
        <v>15</v>
      </c>
      <c r="E35" s="390"/>
      <c r="F35" s="391">
        <v>1</v>
      </c>
      <c r="G35" s="251"/>
      <c r="H35" s="251"/>
      <c r="I35" s="253">
        <f t="shared" si="2"/>
        <v>0</v>
      </c>
      <c r="J35" s="254">
        <f t="shared" si="3"/>
        <v>16</v>
      </c>
      <c r="K35" s="189" t="s">
        <v>1</v>
      </c>
    </row>
    <row r="36" spans="1:25" ht="15.75">
      <c r="A36" s="34"/>
      <c r="B36" s="113" t="s">
        <v>134</v>
      </c>
      <c r="C36" s="249"/>
      <c r="D36" s="250">
        <v>307</v>
      </c>
      <c r="E36" s="390"/>
      <c r="F36" s="391">
        <v>104</v>
      </c>
      <c r="G36" s="251"/>
      <c r="H36" s="251"/>
      <c r="I36" s="253">
        <f t="shared" si="2"/>
        <v>0</v>
      </c>
      <c r="J36" s="254">
        <f t="shared" si="3"/>
        <v>411</v>
      </c>
      <c r="K36" s="189" t="s">
        <v>1</v>
      </c>
    </row>
    <row r="37" spans="1:25" ht="15.75">
      <c r="A37" s="34"/>
      <c r="B37" s="113" t="s">
        <v>135</v>
      </c>
      <c r="C37" s="249"/>
      <c r="D37" s="250">
        <v>2153</v>
      </c>
      <c r="E37" s="390"/>
      <c r="F37" s="391">
        <v>119</v>
      </c>
      <c r="G37" s="251"/>
      <c r="H37" s="251"/>
      <c r="I37" s="253">
        <f t="shared" si="2"/>
        <v>0</v>
      </c>
      <c r="J37" s="254">
        <f t="shared" si="3"/>
        <v>2272</v>
      </c>
      <c r="K37" s="189" t="s">
        <v>1</v>
      </c>
    </row>
    <row r="38" spans="1:25" ht="15.75">
      <c r="A38" s="34"/>
      <c r="B38" s="113" t="s">
        <v>130</v>
      </c>
      <c r="C38" s="249"/>
      <c r="D38" s="250">
        <v>511</v>
      </c>
      <c r="E38" s="390"/>
      <c r="F38" s="391">
        <v>3</v>
      </c>
      <c r="G38" s="251"/>
      <c r="H38" s="251"/>
      <c r="I38" s="253">
        <f t="shared" si="2"/>
        <v>0</v>
      </c>
      <c r="J38" s="254">
        <f t="shared" si="3"/>
        <v>514</v>
      </c>
      <c r="K38" s="189" t="s">
        <v>1</v>
      </c>
    </row>
    <row r="39" spans="1:25" ht="15.75">
      <c r="A39" s="34"/>
      <c r="B39" s="113" t="s">
        <v>295</v>
      </c>
      <c r="C39" s="249"/>
      <c r="D39" s="250"/>
      <c r="E39" s="390"/>
      <c r="F39" s="391">
        <v>112</v>
      </c>
      <c r="G39" s="251"/>
      <c r="H39" s="251"/>
      <c r="I39" s="253">
        <f t="shared" si="2"/>
        <v>0</v>
      </c>
      <c r="J39" s="254">
        <f t="shared" si="3"/>
        <v>112</v>
      </c>
      <c r="K39" s="189" t="s">
        <v>1</v>
      </c>
    </row>
    <row r="40" spans="1:25" ht="15.75">
      <c r="A40" s="34"/>
      <c r="B40" s="113" t="s">
        <v>136</v>
      </c>
      <c r="C40" s="249"/>
      <c r="D40" s="250"/>
      <c r="E40" s="390"/>
      <c r="F40" s="463">
        <v>0</v>
      </c>
      <c r="G40" s="251"/>
      <c r="H40" s="251"/>
      <c r="I40" s="253">
        <f t="shared" si="2"/>
        <v>0</v>
      </c>
      <c r="J40" s="254">
        <f t="shared" si="3"/>
        <v>0</v>
      </c>
      <c r="K40" s="189" t="s">
        <v>1</v>
      </c>
    </row>
    <row r="41" spans="1:25" ht="15.75">
      <c r="A41" s="34"/>
      <c r="B41" s="113" t="s">
        <v>138</v>
      </c>
      <c r="C41" s="249"/>
      <c r="D41" s="250">
        <v>170</v>
      </c>
      <c r="E41" s="390"/>
      <c r="F41" s="391">
        <v>1</v>
      </c>
      <c r="G41" s="251"/>
      <c r="H41" s="251"/>
      <c r="I41" s="253">
        <f t="shared" si="2"/>
        <v>0</v>
      </c>
      <c r="J41" s="254">
        <f t="shared" si="3"/>
        <v>171</v>
      </c>
      <c r="K41" s="189" t="s">
        <v>1</v>
      </c>
    </row>
    <row r="42" spans="1:25" ht="15.75">
      <c r="A42" s="34"/>
      <c r="B42" s="113" t="s">
        <v>137</v>
      </c>
      <c r="C42" s="249"/>
      <c r="D42" s="250">
        <v>239</v>
      </c>
      <c r="E42" s="390"/>
      <c r="F42" s="391">
        <v>31</v>
      </c>
      <c r="G42" s="251"/>
      <c r="H42" s="251"/>
      <c r="I42" s="253">
        <f t="shared" si="2"/>
        <v>0</v>
      </c>
      <c r="J42" s="254">
        <f t="shared" si="3"/>
        <v>270</v>
      </c>
      <c r="K42" s="189" t="s">
        <v>1</v>
      </c>
    </row>
    <row r="43" spans="1:25" ht="15.75">
      <c r="A43" s="34"/>
      <c r="B43" s="115" t="s">
        <v>129</v>
      </c>
      <c r="C43" s="255"/>
      <c r="D43" s="263">
        <v>772</v>
      </c>
      <c r="E43" s="390"/>
      <c r="F43" s="391">
        <v>364</v>
      </c>
      <c r="G43" s="262"/>
      <c r="H43" s="262"/>
      <c r="I43" s="253">
        <f t="shared" si="2"/>
        <v>0</v>
      </c>
      <c r="J43" s="254">
        <f t="shared" si="3"/>
        <v>1136</v>
      </c>
      <c r="K43" s="189" t="s">
        <v>1</v>
      </c>
    </row>
    <row r="44" spans="1:25" ht="16.5" thickBot="1">
      <c r="A44" s="34"/>
      <c r="B44" s="147" t="s">
        <v>315</v>
      </c>
      <c r="C44" s="353">
        <f t="shared" ref="C44:H44" si="4">SUM(C28:C43)</f>
        <v>37</v>
      </c>
      <c r="D44" s="354">
        <f t="shared" si="4"/>
        <v>11815</v>
      </c>
      <c r="E44" s="353">
        <f t="shared" si="4"/>
        <v>3</v>
      </c>
      <c r="F44" s="354">
        <f t="shared" si="4"/>
        <v>1227.5</v>
      </c>
      <c r="G44" s="356">
        <f t="shared" si="4"/>
        <v>0</v>
      </c>
      <c r="H44" s="355">
        <f t="shared" si="4"/>
        <v>-907</v>
      </c>
      <c r="I44" s="357">
        <f>SUM(I28:I43)</f>
        <v>40</v>
      </c>
      <c r="J44" s="358">
        <f>SUM(J28:J43)</f>
        <v>12135.5</v>
      </c>
      <c r="K44" s="189" t="s">
        <v>41</v>
      </c>
    </row>
    <row r="45" spans="1:25" ht="15.75">
      <c r="A45" s="34"/>
      <c r="B45" s="755"/>
      <c r="C45" s="756"/>
      <c r="D45" s="756"/>
      <c r="E45" s="756"/>
      <c r="F45" s="756"/>
      <c r="G45" s="756"/>
      <c r="H45" s="756"/>
      <c r="I45" s="756"/>
      <c r="J45" s="756"/>
      <c r="K45" s="190"/>
      <c r="L45" s="37"/>
      <c r="M45" s="37"/>
      <c r="N45" s="37"/>
      <c r="O45" s="37"/>
      <c r="P45" s="37"/>
      <c r="Q45" s="37"/>
      <c r="R45" s="37"/>
      <c r="S45" s="37"/>
      <c r="T45" s="37"/>
      <c r="U45" s="37"/>
      <c r="V45" s="37"/>
      <c r="W45" s="37"/>
      <c r="X45" s="37"/>
      <c r="Y45" s="37"/>
    </row>
    <row r="46" spans="1:25" ht="15.75">
      <c r="A46" s="34"/>
      <c r="B46" s="38"/>
      <c r="C46" s="38"/>
      <c r="D46" s="38"/>
      <c r="E46" s="38"/>
      <c r="F46" s="38"/>
      <c r="G46" s="38"/>
      <c r="H46" s="38"/>
      <c r="I46" s="38"/>
      <c r="J46" s="38"/>
      <c r="K46" s="191"/>
      <c r="L46" s="37"/>
      <c r="M46" s="37"/>
      <c r="N46" s="37"/>
      <c r="O46" s="37"/>
      <c r="P46" s="37"/>
      <c r="Q46" s="37"/>
      <c r="R46" s="37"/>
      <c r="S46" s="37"/>
      <c r="T46" s="37"/>
      <c r="U46" s="37"/>
      <c r="V46" s="37"/>
      <c r="W46" s="37"/>
      <c r="X46" s="37"/>
      <c r="Y46" s="37"/>
    </row>
    <row r="49" spans="10:10">
      <c r="J49" s="179"/>
    </row>
  </sheetData>
  <mergeCells count="7">
    <mergeCell ref="B45:J45"/>
    <mergeCell ref="I8:J9"/>
    <mergeCell ref="E8:H8"/>
    <mergeCell ref="E9:F9"/>
    <mergeCell ref="G9:H9"/>
    <mergeCell ref="B8:B10"/>
    <mergeCell ref="C8:D9"/>
  </mergeCells>
  <phoneticPr fontId="0" type="noConversion"/>
  <printOptions horizontalCentered="1"/>
  <pageMargins left="0.25" right="0.25" top="0.5" bottom="0.5" header="0.5" footer="0.5"/>
  <pageSetup scale="70"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K36"/>
  <sheetViews>
    <sheetView showGridLines="0" showOutlineSymbols="0" view="pageBreakPreview" topLeftCell="B1" zoomScale="80" zoomScaleNormal="100" zoomScaleSheetLayoutView="80" workbookViewId="0">
      <selection activeCell="G3" sqref="G3"/>
    </sheetView>
  </sheetViews>
  <sheetFormatPr defaultColWidth="9.6640625" defaultRowHeight="15.75"/>
  <cols>
    <col min="1" max="1" width="3.88671875" style="11" hidden="1" customWidth="1"/>
    <col min="2" max="2" width="57" style="11" customWidth="1"/>
    <col min="3" max="3" width="8.33203125" style="11" customWidth="1"/>
    <col min="4" max="4" width="9.77734375" style="11" customWidth="1"/>
    <col min="5" max="5" width="8.77734375" style="11" customWidth="1"/>
    <col min="6" max="6" width="9.77734375" style="11" customWidth="1"/>
    <col min="7" max="7" width="9.21875" style="11" customWidth="1"/>
    <col min="8" max="8" width="9.77734375" style="11" customWidth="1"/>
    <col min="9" max="9" width="7.77734375" style="11" customWidth="1"/>
    <col min="10" max="10" width="11.77734375" style="11" bestFit="1" customWidth="1"/>
    <col min="11" max="11" width="1.21875" style="188" customWidth="1"/>
    <col min="12" max="16384" width="9.6640625" style="11"/>
  </cols>
  <sheetData>
    <row r="1" spans="1:11" ht="20.25">
      <c r="A1" s="39" t="s">
        <v>171</v>
      </c>
      <c r="B1" s="772" t="s">
        <v>177</v>
      </c>
      <c r="C1" s="719"/>
      <c r="D1" s="719"/>
      <c r="E1" s="719"/>
      <c r="F1" s="719"/>
      <c r="G1" s="719"/>
      <c r="H1" s="719"/>
      <c r="I1" s="719"/>
      <c r="J1" s="719"/>
      <c r="K1" s="187" t="s">
        <v>1</v>
      </c>
    </row>
    <row r="2" spans="1:11" ht="20.25">
      <c r="A2" s="39"/>
      <c r="B2" s="111"/>
      <c r="C2" s="26"/>
      <c r="D2" s="26"/>
      <c r="E2" s="26"/>
      <c r="F2" s="26"/>
      <c r="G2" s="26"/>
      <c r="H2" s="26"/>
      <c r="I2" s="26"/>
      <c r="J2" s="26"/>
      <c r="K2" s="187" t="s">
        <v>1</v>
      </c>
    </row>
    <row r="3" spans="1:11" ht="20.25">
      <c r="A3" s="39"/>
      <c r="B3" s="26"/>
      <c r="C3" s="26"/>
      <c r="D3" s="26"/>
      <c r="E3" s="26"/>
      <c r="F3" s="26"/>
      <c r="G3" s="26"/>
      <c r="H3" s="26"/>
      <c r="I3" s="26"/>
      <c r="J3" s="26"/>
      <c r="K3" s="187" t="s">
        <v>1</v>
      </c>
    </row>
    <row r="4" spans="1:11" ht="20.25">
      <c r="A4" s="39"/>
      <c r="B4" s="784" t="s">
        <v>233</v>
      </c>
      <c r="C4" s="500"/>
      <c r="D4" s="500"/>
      <c r="E4" s="500"/>
      <c r="F4" s="500"/>
      <c r="G4" s="500"/>
      <c r="H4" s="500"/>
      <c r="I4" s="500"/>
      <c r="J4" s="500"/>
      <c r="K4" s="187" t="s">
        <v>1</v>
      </c>
    </row>
    <row r="5" spans="1:11" ht="18.75">
      <c r="A5" s="12" t="s">
        <v>233</v>
      </c>
      <c r="B5" s="783" t="str">
        <f>+'B. Summary of Requirements '!A5</f>
        <v>Bureau of Alcohol, Tobacco, Firearms and Explosives</v>
      </c>
      <c r="C5" s="502"/>
      <c r="D5" s="502"/>
      <c r="E5" s="502"/>
      <c r="F5" s="502"/>
      <c r="G5" s="502"/>
      <c r="H5" s="502"/>
      <c r="I5" s="502"/>
      <c r="J5" s="502"/>
      <c r="K5" s="187" t="s">
        <v>1</v>
      </c>
    </row>
    <row r="6" spans="1:11" ht="18.75">
      <c r="A6" s="14" t="e">
        <f>+#REF!</f>
        <v>#REF!</v>
      </c>
      <c r="B6" s="783" t="str">
        <f>+'B. Summary of Requirements '!A6</f>
        <v>Salaries and Expenses</v>
      </c>
      <c r="C6" s="500"/>
      <c r="D6" s="500"/>
      <c r="E6" s="500"/>
      <c r="F6" s="500"/>
      <c r="G6" s="500"/>
      <c r="H6" s="500"/>
      <c r="I6" s="500"/>
      <c r="J6" s="500"/>
      <c r="K6" s="187" t="s">
        <v>1</v>
      </c>
    </row>
    <row r="7" spans="1:11">
      <c r="A7" s="15"/>
      <c r="B7" s="28"/>
      <c r="C7" s="28"/>
      <c r="D7" s="28"/>
      <c r="E7" s="28"/>
      <c r="F7" s="28"/>
      <c r="G7" s="28"/>
      <c r="H7" s="28"/>
      <c r="I7" s="28"/>
      <c r="J7" s="28"/>
      <c r="K7" s="187" t="s">
        <v>1</v>
      </c>
    </row>
    <row r="8" spans="1:11" ht="16.5" thickBot="1">
      <c r="A8" s="26"/>
      <c r="B8" s="26" t="s">
        <v>226</v>
      </c>
      <c r="C8" s="26"/>
      <c r="D8" s="26"/>
      <c r="E8" s="26"/>
      <c r="F8" s="26"/>
      <c r="G8" s="26"/>
      <c r="H8" s="26"/>
      <c r="I8" s="26"/>
      <c r="J8" s="26"/>
      <c r="K8" s="187" t="s">
        <v>1</v>
      </c>
    </row>
    <row r="9" spans="1:11">
      <c r="A9" s="106"/>
      <c r="B9" s="780" t="s">
        <v>90</v>
      </c>
      <c r="C9" s="773" t="s">
        <v>57</v>
      </c>
      <c r="D9" s="774"/>
      <c r="E9" s="773" t="s">
        <v>156</v>
      </c>
      <c r="F9" s="777"/>
      <c r="G9" s="773" t="s">
        <v>160</v>
      </c>
      <c r="H9" s="777"/>
      <c r="I9" s="773" t="s">
        <v>80</v>
      </c>
      <c r="J9" s="777"/>
      <c r="K9" s="187" t="s">
        <v>1</v>
      </c>
    </row>
    <row r="10" spans="1:11" ht="34.5" customHeight="1">
      <c r="A10" s="104"/>
      <c r="B10" s="609"/>
      <c r="C10" s="775"/>
      <c r="D10" s="776"/>
      <c r="E10" s="778"/>
      <c r="F10" s="779"/>
      <c r="G10" s="778"/>
      <c r="H10" s="779"/>
      <c r="I10" s="778"/>
      <c r="J10" s="779"/>
      <c r="K10" s="187" t="s">
        <v>1</v>
      </c>
    </row>
    <row r="11" spans="1:11" ht="16.5" thickBot="1">
      <c r="A11" s="107"/>
      <c r="B11" s="781"/>
      <c r="C11" s="109" t="s">
        <v>225</v>
      </c>
      <c r="D11" s="108" t="s">
        <v>227</v>
      </c>
      <c r="E11" s="109" t="s">
        <v>225</v>
      </c>
      <c r="F11" s="108" t="s">
        <v>227</v>
      </c>
      <c r="G11" s="109" t="s">
        <v>225</v>
      </c>
      <c r="H11" s="108" t="s">
        <v>227</v>
      </c>
      <c r="I11" s="109" t="s">
        <v>225</v>
      </c>
      <c r="J11" s="110" t="s">
        <v>227</v>
      </c>
      <c r="K11" s="187" t="s">
        <v>1</v>
      </c>
    </row>
    <row r="12" spans="1:11">
      <c r="A12" s="104"/>
      <c r="B12" s="145" t="s">
        <v>318</v>
      </c>
      <c r="C12" s="399">
        <v>50</v>
      </c>
      <c r="D12" s="271"/>
      <c r="E12" s="399">
        <v>50</v>
      </c>
      <c r="F12" s="271"/>
      <c r="G12" s="399">
        <v>50</v>
      </c>
      <c r="H12" s="271"/>
      <c r="I12" s="270">
        <f t="shared" ref="I12:I27" si="0">G12-E12</f>
        <v>0</v>
      </c>
      <c r="J12" s="272"/>
      <c r="K12" s="187" t="s">
        <v>1</v>
      </c>
    </row>
    <row r="13" spans="1:11">
      <c r="A13" s="104"/>
      <c r="B13" s="112" t="s">
        <v>332</v>
      </c>
      <c r="C13" s="399">
        <v>187</v>
      </c>
      <c r="D13" s="271"/>
      <c r="E13" s="399">
        <v>187</v>
      </c>
      <c r="F13" s="271"/>
      <c r="G13" s="399">
        <v>187</v>
      </c>
      <c r="H13" s="271"/>
      <c r="I13" s="270">
        <f t="shared" si="0"/>
        <v>0</v>
      </c>
      <c r="J13" s="272"/>
      <c r="K13" s="187" t="s">
        <v>1</v>
      </c>
    </row>
    <row r="14" spans="1:11">
      <c r="A14" s="104"/>
      <c r="B14" s="112" t="s">
        <v>331</v>
      </c>
      <c r="C14" s="399">
        <v>623</v>
      </c>
      <c r="D14" s="271"/>
      <c r="E14" s="399">
        <v>623</v>
      </c>
      <c r="F14" s="271"/>
      <c r="G14" s="399">
        <v>623</v>
      </c>
      <c r="H14" s="271"/>
      <c r="I14" s="270">
        <f t="shared" si="0"/>
        <v>0</v>
      </c>
      <c r="J14" s="272"/>
      <c r="K14" s="187" t="s">
        <v>1</v>
      </c>
    </row>
    <row r="15" spans="1:11">
      <c r="A15" s="104"/>
      <c r="B15" s="112" t="s">
        <v>330</v>
      </c>
      <c r="C15" s="399">
        <v>2486</v>
      </c>
      <c r="D15" s="271"/>
      <c r="E15" s="399">
        <v>2486</v>
      </c>
      <c r="F15" s="271"/>
      <c r="G15" s="399">
        <v>2486</v>
      </c>
      <c r="H15" s="271"/>
      <c r="I15" s="270">
        <f t="shared" si="0"/>
        <v>0</v>
      </c>
      <c r="J15" s="272"/>
      <c r="K15" s="187" t="s">
        <v>1</v>
      </c>
    </row>
    <row r="16" spans="1:11">
      <c r="A16" s="104"/>
      <c r="B16" s="112" t="s">
        <v>329</v>
      </c>
      <c r="C16" s="399">
        <v>338</v>
      </c>
      <c r="D16" s="271"/>
      <c r="E16" s="399">
        <v>338</v>
      </c>
      <c r="F16" s="271"/>
      <c r="G16" s="400">
        <v>338</v>
      </c>
      <c r="H16" s="271"/>
      <c r="I16" s="270">
        <f t="shared" si="0"/>
        <v>0</v>
      </c>
      <c r="J16" s="272"/>
      <c r="K16" s="187" t="s">
        <v>1</v>
      </c>
    </row>
    <row r="17" spans="1:11">
      <c r="A17" s="104"/>
      <c r="B17" s="112" t="s">
        <v>328</v>
      </c>
      <c r="C17" s="399">
        <v>213</v>
      </c>
      <c r="D17" s="271"/>
      <c r="E17" s="399">
        <v>213</v>
      </c>
      <c r="F17" s="271"/>
      <c r="G17" s="400">
        <f>213+37</f>
        <v>250</v>
      </c>
      <c r="H17" s="271"/>
      <c r="I17" s="270">
        <f t="shared" si="0"/>
        <v>37</v>
      </c>
      <c r="J17" s="272"/>
      <c r="K17" s="187" t="s">
        <v>1</v>
      </c>
    </row>
    <row r="18" spans="1:11">
      <c r="A18" s="104"/>
      <c r="B18" s="112" t="s">
        <v>327</v>
      </c>
      <c r="C18" s="399">
        <v>1</v>
      </c>
      <c r="D18" s="271"/>
      <c r="E18" s="399">
        <v>1</v>
      </c>
      <c r="F18" s="271"/>
      <c r="G18" s="400">
        <v>1</v>
      </c>
      <c r="H18" s="271"/>
      <c r="I18" s="270">
        <f t="shared" si="0"/>
        <v>0</v>
      </c>
      <c r="J18" s="272"/>
      <c r="K18" s="187" t="s">
        <v>1</v>
      </c>
    </row>
    <row r="19" spans="1:11">
      <c r="A19" s="104"/>
      <c r="B19" s="112" t="s">
        <v>326</v>
      </c>
      <c r="C19" s="399">
        <v>458</v>
      </c>
      <c r="D19" s="271"/>
      <c r="E19" s="399">
        <v>551</v>
      </c>
      <c r="F19" s="271"/>
      <c r="G19" s="400">
        <f>551+7</f>
        <v>558</v>
      </c>
      <c r="H19" s="271"/>
      <c r="I19" s="270">
        <f t="shared" si="0"/>
        <v>7</v>
      </c>
      <c r="J19" s="272"/>
      <c r="K19" s="187" t="s">
        <v>1</v>
      </c>
    </row>
    <row r="20" spans="1:11">
      <c r="A20" s="104"/>
      <c r="B20" s="112" t="s">
        <v>325</v>
      </c>
      <c r="C20" s="399">
        <v>82</v>
      </c>
      <c r="D20" s="271"/>
      <c r="E20" s="399">
        <v>82</v>
      </c>
      <c r="F20" s="271"/>
      <c r="G20" s="400">
        <v>82</v>
      </c>
      <c r="H20" s="271"/>
      <c r="I20" s="270">
        <f t="shared" si="0"/>
        <v>0</v>
      </c>
      <c r="J20" s="272"/>
      <c r="K20" s="187" t="s">
        <v>1</v>
      </c>
    </row>
    <row r="21" spans="1:11">
      <c r="A21" s="104"/>
      <c r="B21" s="112" t="s">
        <v>324</v>
      </c>
      <c r="C21" s="399">
        <v>168</v>
      </c>
      <c r="D21" s="271"/>
      <c r="E21" s="399">
        <v>168</v>
      </c>
      <c r="F21" s="271"/>
      <c r="G21" s="400">
        <v>168</v>
      </c>
      <c r="H21" s="271"/>
      <c r="I21" s="270">
        <f t="shared" si="0"/>
        <v>0</v>
      </c>
      <c r="J21" s="272"/>
      <c r="K21" s="187" t="s">
        <v>1</v>
      </c>
    </row>
    <row r="22" spans="1:11">
      <c r="A22" s="104"/>
      <c r="B22" s="112" t="s">
        <v>323</v>
      </c>
      <c r="C22" s="399">
        <v>31</v>
      </c>
      <c r="D22" s="271"/>
      <c r="E22" s="399">
        <v>31</v>
      </c>
      <c r="F22" s="271"/>
      <c r="G22" s="400">
        <v>31</v>
      </c>
      <c r="H22" s="271"/>
      <c r="I22" s="270">
        <f t="shared" si="0"/>
        <v>0</v>
      </c>
      <c r="J22" s="272"/>
      <c r="K22" s="187" t="s">
        <v>1</v>
      </c>
    </row>
    <row r="23" spans="1:11">
      <c r="A23" s="104"/>
      <c r="B23" s="112" t="s">
        <v>322</v>
      </c>
      <c r="C23" s="399">
        <v>60</v>
      </c>
      <c r="D23" s="271"/>
      <c r="E23" s="399">
        <v>60</v>
      </c>
      <c r="F23" s="271"/>
      <c r="G23" s="400">
        <v>60</v>
      </c>
      <c r="H23" s="271"/>
      <c r="I23" s="270">
        <f t="shared" si="0"/>
        <v>0</v>
      </c>
      <c r="J23" s="272"/>
      <c r="K23" s="187" t="s">
        <v>1</v>
      </c>
    </row>
    <row r="24" spans="1:11">
      <c r="A24" s="104"/>
      <c r="B24" s="112" t="s">
        <v>321</v>
      </c>
      <c r="C24" s="399">
        <v>5</v>
      </c>
      <c r="D24" s="271"/>
      <c r="E24" s="399">
        <v>5</v>
      </c>
      <c r="F24" s="271"/>
      <c r="G24" s="400">
        <v>5</v>
      </c>
      <c r="H24" s="271"/>
      <c r="I24" s="270">
        <f t="shared" si="0"/>
        <v>0</v>
      </c>
      <c r="J24" s="272"/>
      <c r="K24" s="187" t="s">
        <v>1</v>
      </c>
    </row>
    <row r="25" spans="1:11">
      <c r="A25" s="104"/>
      <c r="B25" s="112" t="s">
        <v>333</v>
      </c>
      <c r="C25" s="399">
        <v>6</v>
      </c>
      <c r="D25" s="271"/>
      <c r="E25" s="399">
        <v>6</v>
      </c>
      <c r="F25" s="271"/>
      <c r="G25" s="400">
        <v>6</v>
      </c>
      <c r="H25" s="271"/>
      <c r="I25" s="270">
        <f t="shared" si="0"/>
        <v>0</v>
      </c>
      <c r="J25" s="272"/>
      <c r="K25" s="187" t="s">
        <v>1</v>
      </c>
    </row>
    <row r="26" spans="1:11">
      <c r="A26" s="104"/>
      <c r="B26" s="112" t="s">
        <v>320</v>
      </c>
      <c r="C26" s="399">
        <v>5</v>
      </c>
      <c r="D26" s="271"/>
      <c r="E26" s="399">
        <v>5</v>
      </c>
      <c r="F26" s="271"/>
      <c r="G26" s="400">
        <v>5</v>
      </c>
      <c r="H26" s="271"/>
      <c r="I26" s="270">
        <f t="shared" si="0"/>
        <v>0</v>
      </c>
      <c r="J26" s="272"/>
      <c r="K26" s="187" t="s">
        <v>1</v>
      </c>
    </row>
    <row r="27" spans="1:11">
      <c r="A27" s="104"/>
      <c r="B27" s="112" t="s">
        <v>319</v>
      </c>
      <c r="C27" s="270">
        <v>0</v>
      </c>
      <c r="D27" s="271"/>
      <c r="E27" s="270">
        <v>0</v>
      </c>
      <c r="F27" s="271"/>
      <c r="G27" s="462">
        <v>0</v>
      </c>
      <c r="H27" s="271"/>
      <c r="I27" s="270">
        <f t="shared" si="0"/>
        <v>0</v>
      </c>
      <c r="J27" s="272"/>
      <c r="K27" s="187" t="s">
        <v>1</v>
      </c>
    </row>
    <row r="28" spans="1:11">
      <c r="A28" s="104"/>
      <c r="B28" s="112" t="s">
        <v>297</v>
      </c>
      <c r="C28" s="105">
        <v>295</v>
      </c>
      <c r="D28" s="274"/>
      <c r="E28" s="105">
        <v>295</v>
      </c>
      <c r="F28" s="274"/>
      <c r="G28" s="401">
        <f>295</f>
        <v>295</v>
      </c>
      <c r="H28" s="274"/>
      <c r="I28" s="273">
        <f>G28-E28</f>
        <v>0</v>
      </c>
      <c r="J28" s="275"/>
      <c r="K28" s="187" t="s">
        <v>1</v>
      </c>
    </row>
    <row r="29" spans="1:11">
      <c r="A29" s="104"/>
      <c r="B29" s="123" t="s">
        <v>111</v>
      </c>
      <c r="C29" s="276">
        <f t="shared" ref="C29:J29" si="1">SUM(C12:C28)</f>
        <v>5008</v>
      </c>
      <c r="D29" s="366">
        <f t="shared" si="1"/>
        <v>0</v>
      </c>
      <c r="E29" s="276">
        <f t="shared" si="1"/>
        <v>5101</v>
      </c>
      <c r="F29" s="366">
        <f t="shared" si="1"/>
        <v>0</v>
      </c>
      <c r="G29" s="276">
        <f t="shared" si="1"/>
        <v>5145</v>
      </c>
      <c r="H29" s="366">
        <f t="shared" si="1"/>
        <v>0</v>
      </c>
      <c r="I29" s="276">
        <f t="shared" si="1"/>
        <v>44</v>
      </c>
      <c r="J29" s="367">
        <f t="shared" si="1"/>
        <v>0</v>
      </c>
      <c r="K29" s="187" t="s">
        <v>1</v>
      </c>
    </row>
    <row r="30" spans="1:11">
      <c r="A30" s="104"/>
      <c r="B30" s="124" t="s">
        <v>35</v>
      </c>
      <c r="C30" s="277"/>
      <c r="D30" s="445">
        <v>163339</v>
      </c>
      <c r="E30" s="446"/>
      <c r="F30" s="447">
        <f>D30*1.031</f>
        <v>168402.50899999999</v>
      </c>
      <c r="G30" s="448"/>
      <c r="H30" s="447">
        <f>F30*1.022</f>
        <v>172107.364198</v>
      </c>
      <c r="I30" s="277"/>
      <c r="J30" s="281"/>
      <c r="K30" s="187" t="s">
        <v>1</v>
      </c>
    </row>
    <row r="31" spans="1:11">
      <c r="A31" s="104"/>
      <c r="B31" s="124" t="s">
        <v>139</v>
      </c>
      <c r="C31" s="278"/>
      <c r="D31" s="445">
        <v>87910</v>
      </c>
      <c r="E31" s="446"/>
      <c r="F31" s="447">
        <f>D31*1.031</f>
        <v>90635.209999999992</v>
      </c>
      <c r="G31" s="448"/>
      <c r="H31" s="447">
        <f>F31*1.022</f>
        <v>92629.18462</v>
      </c>
      <c r="I31" s="277"/>
      <c r="J31" s="281"/>
      <c r="K31" s="187" t="s">
        <v>1</v>
      </c>
    </row>
    <row r="32" spans="1:11" ht="16.5" thickBot="1">
      <c r="A32" s="105"/>
      <c r="B32" s="146" t="s">
        <v>140</v>
      </c>
      <c r="C32" s="279"/>
      <c r="D32" s="449">
        <v>12.58</v>
      </c>
      <c r="E32" s="450"/>
      <c r="F32" s="449">
        <v>12.51</v>
      </c>
      <c r="G32" s="450"/>
      <c r="H32" s="449">
        <v>12.5</v>
      </c>
      <c r="I32" s="280"/>
      <c r="J32" s="282"/>
      <c r="K32" s="187" t="s">
        <v>41</v>
      </c>
    </row>
    <row r="33" spans="1:11">
      <c r="A33" s="26"/>
      <c r="B33" s="782"/>
      <c r="C33" s="717"/>
      <c r="D33" s="717"/>
      <c r="E33" s="717"/>
      <c r="F33" s="717"/>
      <c r="G33" s="717"/>
      <c r="H33" s="717"/>
      <c r="I33" s="717"/>
      <c r="J33" s="717"/>
      <c r="K33" s="717"/>
    </row>
    <row r="34" spans="1:11">
      <c r="B34" s="26"/>
      <c r="C34" s="26"/>
      <c r="D34" s="26"/>
      <c r="E34" s="26"/>
      <c r="F34" s="26"/>
      <c r="G34" s="26"/>
      <c r="H34" s="26"/>
      <c r="I34" s="26"/>
      <c r="J34" s="26"/>
    </row>
    <row r="36" spans="1:11">
      <c r="K36" s="187"/>
    </row>
  </sheetData>
  <mergeCells count="10">
    <mergeCell ref="B33:K33"/>
    <mergeCell ref="B6:J6"/>
    <mergeCell ref="B5:J5"/>
    <mergeCell ref="B4:J4"/>
    <mergeCell ref="B1:J1"/>
    <mergeCell ref="C9:D10"/>
    <mergeCell ref="E9:F10"/>
    <mergeCell ref="G9:H10"/>
    <mergeCell ref="I9:J10"/>
    <mergeCell ref="B9:B11"/>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Q81"/>
  <sheetViews>
    <sheetView view="pageBreakPreview" zoomScale="80" zoomScaleNormal="100" zoomScaleSheetLayoutView="80" workbookViewId="0">
      <selection activeCell="K8" sqref="K8:L8"/>
    </sheetView>
  </sheetViews>
  <sheetFormatPr defaultRowHeight="15.75"/>
  <cols>
    <col min="1" max="1" width="1.88671875" style="3" customWidth="1"/>
    <col min="2" max="2" width="27.109375" style="3" customWidth="1"/>
    <col min="3" max="3" width="12.5546875" style="3" customWidth="1"/>
    <col min="4" max="4" width="18.109375" style="3" customWidth="1"/>
    <col min="5" max="5" width="8.88671875" style="3"/>
    <col min="6" max="6" width="10.109375" style="3" customWidth="1"/>
    <col min="7" max="7" width="8.88671875" style="3"/>
    <col min="8" max="8" width="10.6640625" style="3" customWidth="1"/>
    <col min="9" max="11" width="8.88671875" style="3"/>
    <col min="12" max="12" width="10.33203125" style="3" customWidth="1"/>
    <col min="13" max="15" width="0" style="3" hidden="1" customWidth="1"/>
    <col min="16" max="16" width="1" style="186" customWidth="1"/>
    <col min="18" max="16384" width="8.88671875" style="3"/>
  </cols>
  <sheetData>
    <row r="1" spans="1:16" ht="19.149999999999999" customHeight="1">
      <c r="A1" s="495" t="s">
        <v>176</v>
      </c>
      <c r="B1" s="561"/>
      <c r="C1" s="561"/>
      <c r="D1" s="561"/>
      <c r="E1" s="561"/>
      <c r="F1" s="561"/>
      <c r="G1" s="561"/>
      <c r="H1" s="561"/>
      <c r="I1" s="561"/>
      <c r="J1" s="561"/>
      <c r="K1" s="561"/>
      <c r="L1" s="561"/>
      <c r="P1" s="185" t="s">
        <v>1</v>
      </c>
    </row>
    <row r="2" spans="1:16" ht="19.149999999999999" customHeight="1">
      <c r="A2" s="699"/>
      <c r="B2" s="561"/>
      <c r="C2" s="561"/>
      <c r="D2" s="561"/>
      <c r="E2" s="561"/>
      <c r="F2" s="561"/>
      <c r="G2" s="561"/>
      <c r="H2" s="561"/>
      <c r="I2" s="561"/>
      <c r="J2" s="561"/>
      <c r="K2" s="561"/>
      <c r="L2" s="561"/>
      <c r="P2" s="185" t="s">
        <v>1</v>
      </c>
    </row>
    <row r="3" spans="1:16" ht="18.75">
      <c r="A3" s="812" t="s">
        <v>144</v>
      </c>
      <c r="B3" s="561"/>
      <c r="C3" s="561"/>
      <c r="D3" s="561"/>
      <c r="E3" s="561"/>
      <c r="F3" s="561"/>
      <c r="G3" s="561"/>
      <c r="H3" s="561"/>
      <c r="I3" s="561"/>
      <c r="J3" s="561"/>
      <c r="K3" s="561"/>
      <c r="L3" s="561"/>
      <c r="P3" s="185" t="s">
        <v>1</v>
      </c>
    </row>
    <row r="4" spans="1:16" ht="16.5">
      <c r="A4" s="813" t="str">
        <f>+'B. Summary of Requirements '!A5</f>
        <v>Bureau of Alcohol, Tobacco, Firearms and Explosives</v>
      </c>
      <c r="B4" s="561"/>
      <c r="C4" s="561"/>
      <c r="D4" s="561"/>
      <c r="E4" s="561"/>
      <c r="F4" s="561"/>
      <c r="G4" s="561"/>
      <c r="H4" s="561"/>
      <c r="I4" s="561"/>
      <c r="J4" s="561"/>
      <c r="K4" s="561"/>
      <c r="L4" s="561"/>
      <c r="P4" s="185" t="s">
        <v>1</v>
      </c>
    </row>
    <row r="5" spans="1:16" ht="16.5">
      <c r="A5" s="813" t="str">
        <f>+'B. Summary of Requirements '!A6</f>
        <v>Salaries and Expenses</v>
      </c>
      <c r="B5" s="561"/>
      <c r="C5" s="561"/>
      <c r="D5" s="561"/>
      <c r="E5" s="561"/>
      <c r="F5" s="561"/>
      <c r="G5" s="561"/>
      <c r="H5" s="561"/>
      <c r="I5" s="561"/>
      <c r="J5" s="561"/>
      <c r="K5" s="561"/>
      <c r="L5" s="561"/>
      <c r="P5" s="185" t="s">
        <v>1</v>
      </c>
    </row>
    <row r="6" spans="1:16">
      <c r="A6" s="804" t="s">
        <v>204</v>
      </c>
      <c r="B6" s="561"/>
      <c r="C6" s="561"/>
      <c r="D6" s="561"/>
      <c r="E6" s="561"/>
      <c r="F6" s="561"/>
      <c r="G6" s="561"/>
      <c r="H6" s="561"/>
      <c r="I6" s="561"/>
      <c r="J6" s="561"/>
      <c r="K6" s="561"/>
      <c r="L6" s="561"/>
      <c r="P6" s="185" t="s">
        <v>1</v>
      </c>
    </row>
    <row r="7" spans="1:16" ht="11.25" customHeight="1">
      <c r="A7" s="4"/>
      <c r="B7" s="14"/>
      <c r="C7" s="29"/>
      <c r="D7" s="29"/>
      <c r="E7" s="29"/>
      <c r="F7" s="29"/>
      <c r="G7" s="29"/>
      <c r="H7" s="29"/>
      <c r="I7" s="29"/>
      <c r="J7" s="29"/>
      <c r="K7" s="4"/>
      <c r="L7" s="4"/>
      <c r="P7" s="185" t="s">
        <v>1</v>
      </c>
    </row>
    <row r="8" spans="1:16" ht="44.25" customHeight="1">
      <c r="A8" s="814" t="s">
        <v>141</v>
      </c>
      <c r="B8" s="558"/>
      <c r="C8" s="558"/>
      <c r="D8" s="559"/>
      <c r="E8" s="816" t="s">
        <v>168</v>
      </c>
      <c r="F8" s="817"/>
      <c r="G8" s="807" t="s">
        <v>188</v>
      </c>
      <c r="H8" s="808"/>
      <c r="I8" s="805" t="s">
        <v>160</v>
      </c>
      <c r="J8" s="806"/>
      <c r="K8" s="805" t="s">
        <v>80</v>
      </c>
      <c r="L8" s="607"/>
      <c r="M8" s="11"/>
      <c r="P8" s="185" t="s">
        <v>1</v>
      </c>
    </row>
    <row r="9" spans="1:16" ht="25.5" customHeight="1" thickBot="1">
      <c r="A9" s="563"/>
      <c r="B9" s="564"/>
      <c r="C9" s="564"/>
      <c r="D9" s="565"/>
      <c r="E9" s="99" t="s">
        <v>85</v>
      </c>
      <c r="F9" s="100" t="s">
        <v>227</v>
      </c>
      <c r="G9" s="99" t="s">
        <v>85</v>
      </c>
      <c r="H9" s="100" t="s">
        <v>227</v>
      </c>
      <c r="I9" s="99" t="s">
        <v>85</v>
      </c>
      <c r="J9" s="100" t="s">
        <v>227</v>
      </c>
      <c r="K9" s="99" t="s">
        <v>85</v>
      </c>
      <c r="L9" s="101" t="s">
        <v>227</v>
      </c>
      <c r="M9" s="11"/>
      <c r="P9" s="185" t="s">
        <v>1</v>
      </c>
    </row>
    <row r="10" spans="1:16">
      <c r="A10" s="794" t="s">
        <v>33</v>
      </c>
      <c r="B10" s="795"/>
      <c r="C10" s="795"/>
      <c r="D10" s="796"/>
      <c r="E10" s="285">
        <v>4936</v>
      </c>
      <c r="F10" s="452">
        <v>442121</v>
      </c>
      <c r="G10" s="285">
        <v>5025</v>
      </c>
      <c r="H10" s="452">
        <v>451898</v>
      </c>
      <c r="I10" s="285">
        <v>5111</v>
      </c>
      <c r="J10" s="284">
        <v>469178</v>
      </c>
      <c r="K10" s="283">
        <f>I10-G10</f>
        <v>86</v>
      </c>
      <c r="L10" s="248">
        <f>J10-H10</f>
        <v>17280</v>
      </c>
      <c r="M10" s="11"/>
      <c r="P10" s="185" t="s">
        <v>1</v>
      </c>
    </row>
    <row r="11" spans="1:16">
      <c r="A11" s="799" t="s">
        <v>110</v>
      </c>
      <c r="B11" s="800"/>
      <c r="C11" s="800"/>
      <c r="D11" s="801"/>
      <c r="E11" s="285"/>
      <c r="F11" s="452">
        <v>1462</v>
      </c>
      <c r="G11" s="285"/>
      <c r="H11" s="452">
        <v>1435</v>
      </c>
      <c r="I11" s="285"/>
      <c r="J11" s="284">
        <v>1458</v>
      </c>
      <c r="K11" s="283">
        <f>I11-G11</f>
        <v>0</v>
      </c>
      <c r="L11" s="248">
        <f>J11-H11</f>
        <v>23</v>
      </c>
      <c r="M11" s="32" t="s">
        <v>83</v>
      </c>
      <c r="N11" s="3" t="s">
        <v>84</v>
      </c>
      <c r="P11" s="185" t="s">
        <v>1</v>
      </c>
    </row>
    <row r="12" spans="1:16">
      <c r="A12" s="799" t="s">
        <v>92</v>
      </c>
      <c r="B12" s="800"/>
      <c r="C12" s="800"/>
      <c r="D12" s="801"/>
      <c r="E12" s="285">
        <f>+E13+E14</f>
        <v>634.07000000000005</v>
      </c>
      <c r="F12" s="452">
        <f t="shared" ref="F12:K12" si="0">+F13+F14</f>
        <v>63987</v>
      </c>
      <c r="G12" s="285">
        <f t="shared" si="0"/>
        <v>664</v>
      </c>
      <c r="H12" s="452">
        <f t="shared" si="0"/>
        <v>72243</v>
      </c>
      <c r="I12" s="285">
        <f t="shared" si="0"/>
        <v>679</v>
      </c>
      <c r="J12" s="284">
        <f t="shared" si="0"/>
        <v>74907</v>
      </c>
      <c r="K12" s="283">
        <f t="shared" si="0"/>
        <v>15</v>
      </c>
      <c r="L12" s="248">
        <f>J12-H12</f>
        <v>2664</v>
      </c>
      <c r="M12" s="11">
        <v>93</v>
      </c>
      <c r="P12" s="185" t="s">
        <v>1</v>
      </c>
    </row>
    <row r="13" spans="1:16">
      <c r="A13" s="809" t="s">
        <v>94</v>
      </c>
      <c r="B13" s="539"/>
      <c r="C13" s="539"/>
      <c r="D13" s="798"/>
      <c r="E13" s="453">
        <v>14.82</v>
      </c>
      <c r="F13" s="454">
        <v>1726</v>
      </c>
      <c r="G13" s="453">
        <f>ROUNDUP((2138034/(45.32*1.02))/2088,0)</f>
        <v>23</v>
      </c>
      <c r="H13" s="454">
        <v>2138</v>
      </c>
      <c r="I13" s="453">
        <f>'[5]B. Summary of Requirements '!AB88</f>
        <v>25</v>
      </c>
      <c r="J13" s="287">
        <v>2235</v>
      </c>
      <c r="K13" s="286">
        <f>I13-G13</f>
        <v>2</v>
      </c>
      <c r="L13" s="248">
        <f>J13-H13</f>
        <v>97</v>
      </c>
      <c r="M13" s="11"/>
      <c r="P13" s="185" t="s">
        <v>1</v>
      </c>
    </row>
    <row r="14" spans="1:16">
      <c r="A14" s="809" t="s">
        <v>93</v>
      </c>
      <c r="B14" s="539"/>
      <c r="C14" s="539"/>
      <c r="D14" s="798"/>
      <c r="E14" s="453">
        <f>2477/4</f>
        <v>619.25</v>
      </c>
      <c r="F14" s="454">
        <f>59133+3128</f>
        <v>62261</v>
      </c>
      <c r="G14" s="453">
        <f>ROUNDUP((((2*261)*2562)/2088),0)</f>
        <v>641</v>
      </c>
      <c r="H14" s="454">
        <v>70105</v>
      </c>
      <c r="I14" s="453">
        <f>'[5]B. Summary of Requirements '!AB87</f>
        <v>654</v>
      </c>
      <c r="J14" s="287">
        <f>68388+4284</f>
        <v>72672</v>
      </c>
      <c r="K14" s="286">
        <f>I14-G14</f>
        <v>13</v>
      </c>
      <c r="L14" s="248">
        <f>J14-H14</f>
        <v>2567</v>
      </c>
      <c r="M14" s="11"/>
      <c r="P14" s="185" t="s">
        <v>1</v>
      </c>
    </row>
    <row r="15" spans="1:16">
      <c r="A15" s="791" t="s">
        <v>95</v>
      </c>
      <c r="B15" s="810"/>
      <c r="C15" s="810"/>
      <c r="D15" s="811"/>
      <c r="E15" s="455"/>
      <c r="F15" s="456">
        <v>71</v>
      </c>
      <c r="G15" s="455"/>
      <c r="H15" s="456">
        <v>131</v>
      </c>
      <c r="I15" s="455"/>
      <c r="J15" s="289">
        <v>131</v>
      </c>
      <c r="K15" s="288">
        <f>I15-G15</f>
        <v>0</v>
      </c>
      <c r="L15" s="248">
        <f>J15-H15</f>
        <v>0</v>
      </c>
      <c r="M15" s="11"/>
      <c r="P15" s="185" t="s">
        <v>1</v>
      </c>
    </row>
    <row r="16" spans="1:16">
      <c r="A16" s="815" t="s">
        <v>34</v>
      </c>
      <c r="B16" s="570"/>
      <c r="C16" s="570"/>
      <c r="D16" s="571"/>
      <c r="E16" s="290">
        <f t="shared" ref="E16:L16" si="1">+E10+E11+E12+E15</f>
        <v>5570.07</v>
      </c>
      <c r="F16" s="291">
        <f t="shared" si="1"/>
        <v>507641</v>
      </c>
      <c r="G16" s="290">
        <f t="shared" si="1"/>
        <v>5689</v>
      </c>
      <c r="H16" s="291">
        <f t="shared" si="1"/>
        <v>525707</v>
      </c>
      <c r="I16" s="290">
        <f t="shared" si="1"/>
        <v>5790</v>
      </c>
      <c r="J16" s="291">
        <f t="shared" si="1"/>
        <v>545674</v>
      </c>
      <c r="K16" s="290">
        <f>SUM(K10:K15)</f>
        <v>116</v>
      </c>
      <c r="L16" s="292">
        <f t="shared" si="1"/>
        <v>19967</v>
      </c>
      <c r="M16" s="4">
        <f>697+630+957+2333</f>
        <v>4617</v>
      </c>
      <c r="N16" s="3">
        <f>2451-93</f>
        <v>2358</v>
      </c>
      <c r="O16" s="3">
        <f>+H16-J16</f>
        <v>-19967</v>
      </c>
      <c r="P16" s="185" t="s">
        <v>1</v>
      </c>
    </row>
    <row r="17" spans="1:16">
      <c r="A17" s="799" t="s">
        <v>142</v>
      </c>
      <c r="B17" s="800"/>
      <c r="C17" s="800"/>
      <c r="D17" s="801"/>
      <c r="E17" s="283"/>
      <c r="F17" s="284"/>
      <c r="G17" s="283"/>
      <c r="H17" s="284"/>
      <c r="I17" s="283"/>
      <c r="J17" s="284"/>
      <c r="K17" s="283"/>
      <c r="L17" s="248"/>
      <c r="M17" s="11"/>
      <c r="P17" s="185" t="s">
        <v>1</v>
      </c>
    </row>
    <row r="18" spans="1:16">
      <c r="A18" s="797" t="s">
        <v>97</v>
      </c>
      <c r="B18" s="539"/>
      <c r="C18" s="539"/>
      <c r="D18" s="798"/>
      <c r="E18" s="283"/>
      <c r="F18" s="284">
        <v>199961</v>
      </c>
      <c r="G18" s="283"/>
      <c r="H18" s="284">
        <v>206791</v>
      </c>
      <c r="I18" s="283"/>
      <c r="J18" s="284">
        <v>226312</v>
      </c>
      <c r="K18" s="283"/>
      <c r="L18" s="248">
        <f>J18-H18</f>
        <v>19521</v>
      </c>
      <c r="M18" s="11">
        <v>359</v>
      </c>
      <c r="N18" s="3">
        <f>1171+93</f>
        <v>1264</v>
      </c>
      <c r="O18" s="3">
        <f t="shared" ref="O18:O37" si="2">+H18-J18</f>
        <v>-19521</v>
      </c>
      <c r="P18" s="185" t="s">
        <v>1</v>
      </c>
    </row>
    <row r="19" spans="1:16">
      <c r="A19" s="797" t="s">
        <v>298</v>
      </c>
      <c r="B19" s="539"/>
      <c r="C19" s="539"/>
      <c r="D19" s="798"/>
      <c r="E19" s="283"/>
      <c r="F19" s="284">
        <v>85</v>
      </c>
      <c r="G19" s="283"/>
      <c r="H19" s="284">
        <v>125</v>
      </c>
      <c r="I19" s="283"/>
      <c r="J19" s="284">
        <v>125</v>
      </c>
      <c r="K19" s="283"/>
      <c r="L19" s="248">
        <f t="shared" ref="L19:L36" si="3">J19-H19</f>
        <v>0</v>
      </c>
      <c r="M19" s="11">
        <v>359</v>
      </c>
      <c r="N19" s="3">
        <f>1171+93</f>
        <v>1264</v>
      </c>
      <c r="O19" s="3">
        <f t="shared" si="2"/>
        <v>0</v>
      </c>
      <c r="P19" s="185" t="s">
        <v>1</v>
      </c>
    </row>
    <row r="20" spans="1:16">
      <c r="A20" s="797" t="s">
        <v>98</v>
      </c>
      <c r="B20" s="539"/>
      <c r="C20" s="539"/>
      <c r="D20" s="798"/>
      <c r="E20" s="283"/>
      <c r="F20" s="284">
        <v>26574</v>
      </c>
      <c r="G20" s="283"/>
      <c r="H20" s="284">
        <v>21612</v>
      </c>
      <c r="I20" s="283"/>
      <c r="J20" s="284">
        <v>22871</v>
      </c>
      <c r="K20" s="283"/>
      <c r="L20" s="248">
        <f t="shared" si="3"/>
        <v>1259</v>
      </c>
      <c r="M20" s="11"/>
      <c r="N20" s="3">
        <v>110</v>
      </c>
      <c r="O20" s="3">
        <f t="shared" si="2"/>
        <v>-1259</v>
      </c>
      <c r="P20" s="185" t="s">
        <v>1</v>
      </c>
    </row>
    <row r="21" spans="1:16">
      <c r="A21" s="797" t="s">
        <v>99</v>
      </c>
      <c r="B21" s="539"/>
      <c r="C21" s="539"/>
      <c r="D21" s="798"/>
      <c r="E21" s="283"/>
      <c r="F21" s="284">
        <v>2966</v>
      </c>
      <c r="G21" s="283"/>
      <c r="H21" s="284">
        <v>2265</v>
      </c>
      <c r="I21" s="283"/>
      <c r="J21" s="284">
        <v>2949</v>
      </c>
      <c r="K21" s="283"/>
      <c r="L21" s="248">
        <f t="shared" si="3"/>
        <v>684</v>
      </c>
      <c r="M21" s="11"/>
      <c r="N21" s="3">
        <v>0</v>
      </c>
      <c r="O21" s="3">
        <f t="shared" si="2"/>
        <v>-684</v>
      </c>
      <c r="P21" s="185" t="s">
        <v>1</v>
      </c>
    </row>
    <row r="22" spans="1:16">
      <c r="A22" s="797" t="s">
        <v>172</v>
      </c>
      <c r="B22" s="539"/>
      <c r="C22" s="539"/>
      <c r="D22" s="798"/>
      <c r="E22" s="283"/>
      <c r="F22" s="284">
        <v>73510</v>
      </c>
      <c r="G22" s="283"/>
      <c r="H22" s="284">
        <v>73439</v>
      </c>
      <c r="I22" s="283"/>
      <c r="J22" s="284">
        <v>86110</v>
      </c>
      <c r="K22" s="283"/>
      <c r="L22" s="248">
        <f t="shared" si="3"/>
        <v>12671</v>
      </c>
      <c r="M22" s="11">
        <f>4220-576</f>
        <v>3644</v>
      </c>
      <c r="O22" s="3">
        <f t="shared" si="2"/>
        <v>-12671</v>
      </c>
      <c r="P22" s="185" t="s">
        <v>1</v>
      </c>
    </row>
    <row r="23" spans="1:16">
      <c r="A23" s="797" t="s">
        <v>73</v>
      </c>
      <c r="B23" s="539"/>
      <c r="C23" s="539"/>
      <c r="D23" s="798"/>
      <c r="E23" s="283"/>
      <c r="F23" s="284">
        <v>809</v>
      </c>
      <c r="G23" s="283"/>
      <c r="H23" s="284">
        <v>1717</v>
      </c>
      <c r="I23" s="283"/>
      <c r="J23" s="284">
        <v>1795</v>
      </c>
      <c r="K23" s="283"/>
      <c r="L23" s="248">
        <f t="shared" si="3"/>
        <v>78</v>
      </c>
      <c r="M23" s="11"/>
      <c r="O23" s="3">
        <f t="shared" si="2"/>
        <v>-78</v>
      </c>
      <c r="P23" s="185" t="s">
        <v>1</v>
      </c>
    </row>
    <row r="24" spans="1:16">
      <c r="A24" s="797" t="s">
        <v>100</v>
      </c>
      <c r="B24" s="539"/>
      <c r="C24" s="539"/>
      <c r="D24" s="798"/>
      <c r="E24" s="283"/>
      <c r="F24" s="284">
        <v>14784</v>
      </c>
      <c r="G24" s="283"/>
      <c r="H24" s="284">
        <v>22012</v>
      </c>
      <c r="I24" s="283"/>
      <c r="J24" s="284">
        <v>24782</v>
      </c>
      <c r="K24" s="283"/>
      <c r="L24" s="248">
        <f t="shared" si="3"/>
        <v>2770</v>
      </c>
      <c r="M24" s="11">
        <v>332</v>
      </c>
      <c r="N24" s="3">
        <v>175</v>
      </c>
      <c r="O24" s="3">
        <f t="shared" si="2"/>
        <v>-2770</v>
      </c>
      <c r="P24" s="185" t="s">
        <v>1</v>
      </c>
    </row>
    <row r="25" spans="1:16">
      <c r="A25" s="797" t="s">
        <v>101</v>
      </c>
      <c r="B25" s="539"/>
      <c r="C25" s="539"/>
      <c r="D25" s="798"/>
      <c r="E25" s="283"/>
      <c r="F25" s="284">
        <v>1583</v>
      </c>
      <c r="G25" s="283"/>
      <c r="H25" s="284">
        <v>1458</v>
      </c>
      <c r="I25" s="283"/>
      <c r="J25" s="284">
        <v>1529</v>
      </c>
      <c r="K25" s="283"/>
      <c r="L25" s="248">
        <f t="shared" si="3"/>
        <v>71</v>
      </c>
      <c r="M25" s="11"/>
      <c r="O25" s="3">
        <f t="shared" si="2"/>
        <v>-71</v>
      </c>
      <c r="P25" s="185" t="s">
        <v>1</v>
      </c>
    </row>
    <row r="26" spans="1:16">
      <c r="A26" s="797" t="s">
        <v>102</v>
      </c>
      <c r="B26" s="539"/>
      <c r="C26" s="539"/>
      <c r="D26" s="798"/>
      <c r="E26" s="283"/>
      <c r="F26" s="284">
        <v>4246</v>
      </c>
      <c r="G26" s="283"/>
      <c r="H26" s="284">
        <v>7544</v>
      </c>
      <c r="I26" s="283"/>
      <c r="J26" s="284">
        <v>7181</v>
      </c>
      <c r="K26" s="283"/>
      <c r="L26" s="248">
        <f t="shared" si="3"/>
        <v>-363</v>
      </c>
      <c r="M26" s="11"/>
      <c r="N26" s="3">
        <v>14918</v>
      </c>
      <c r="O26" s="3">
        <f t="shared" si="2"/>
        <v>363</v>
      </c>
      <c r="P26" s="185" t="s">
        <v>1</v>
      </c>
    </row>
    <row r="27" spans="1:16">
      <c r="A27" s="797" t="s">
        <v>103</v>
      </c>
      <c r="B27" s="539"/>
      <c r="C27" s="539"/>
      <c r="D27" s="798"/>
      <c r="E27" s="283"/>
      <c r="F27" s="284">
        <v>143280</v>
      </c>
      <c r="G27" s="283"/>
      <c r="H27" s="284">
        <v>160510</v>
      </c>
      <c r="I27" s="283"/>
      <c r="J27" s="284">
        <v>164272</v>
      </c>
      <c r="K27" s="283"/>
      <c r="L27" s="248">
        <f t="shared" si="3"/>
        <v>3762</v>
      </c>
      <c r="M27" s="11">
        <v>276</v>
      </c>
      <c r="N27" s="3">
        <v>14853</v>
      </c>
      <c r="O27" s="3">
        <f t="shared" si="2"/>
        <v>-3762</v>
      </c>
      <c r="P27" s="185" t="s">
        <v>1</v>
      </c>
    </row>
    <row r="28" spans="1:16">
      <c r="A28" s="797" t="s">
        <v>234</v>
      </c>
      <c r="B28" s="819"/>
      <c r="C28" s="819"/>
      <c r="D28" s="820"/>
      <c r="E28" s="283"/>
      <c r="F28" s="284">
        <v>17388</v>
      </c>
      <c r="G28" s="283"/>
      <c r="H28" s="284">
        <v>7359</v>
      </c>
      <c r="I28" s="283"/>
      <c r="J28" s="284">
        <v>8904</v>
      </c>
      <c r="K28" s="283"/>
      <c r="L28" s="248">
        <f t="shared" si="3"/>
        <v>1545</v>
      </c>
      <c r="M28" s="11"/>
      <c r="N28" s="3">
        <v>135</v>
      </c>
      <c r="O28" s="3">
        <f t="shared" si="2"/>
        <v>-1545</v>
      </c>
      <c r="P28" s="185" t="s">
        <v>1</v>
      </c>
    </row>
    <row r="29" spans="1:16">
      <c r="A29" s="797" t="s">
        <v>173</v>
      </c>
      <c r="B29" s="539"/>
      <c r="C29" s="539"/>
      <c r="D29" s="798"/>
      <c r="E29" s="283"/>
      <c r="F29" s="284">
        <v>12957</v>
      </c>
      <c r="G29" s="283"/>
      <c r="H29" s="284">
        <v>25781</v>
      </c>
      <c r="I29" s="283"/>
      <c r="J29" s="284">
        <v>22944</v>
      </c>
      <c r="K29" s="283"/>
      <c r="L29" s="248">
        <f t="shared" si="3"/>
        <v>-2837</v>
      </c>
      <c r="M29" s="11"/>
      <c r="O29" s="3">
        <f t="shared" si="2"/>
        <v>2837</v>
      </c>
      <c r="P29" s="185" t="s">
        <v>1</v>
      </c>
    </row>
    <row r="30" spans="1:16">
      <c r="A30" s="797" t="s">
        <v>180</v>
      </c>
      <c r="B30" s="539"/>
      <c r="C30" s="539"/>
      <c r="D30" s="798"/>
      <c r="E30" s="283"/>
      <c r="F30" s="284"/>
      <c r="G30" s="283"/>
      <c r="H30" s="284"/>
      <c r="I30" s="283"/>
      <c r="J30" s="284"/>
      <c r="K30" s="283"/>
      <c r="L30" s="248">
        <f t="shared" si="3"/>
        <v>0</v>
      </c>
      <c r="M30" s="11"/>
      <c r="O30" s="3">
        <f t="shared" si="2"/>
        <v>0</v>
      </c>
      <c r="P30" s="185" t="s">
        <v>1</v>
      </c>
    </row>
    <row r="31" spans="1:16">
      <c r="A31" s="797" t="s">
        <v>181</v>
      </c>
      <c r="B31" s="539"/>
      <c r="C31" s="539"/>
      <c r="D31" s="798"/>
      <c r="E31" s="283"/>
      <c r="F31" s="284">
        <v>1527</v>
      </c>
      <c r="G31" s="283"/>
      <c r="H31" s="284">
        <v>1049</v>
      </c>
      <c r="I31" s="283"/>
      <c r="J31" s="284">
        <v>1600</v>
      </c>
      <c r="K31" s="283"/>
      <c r="L31" s="248">
        <f t="shared" si="3"/>
        <v>551</v>
      </c>
      <c r="M31" s="11"/>
      <c r="N31" s="3">
        <v>10</v>
      </c>
      <c r="O31" s="3">
        <f t="shared" si="2"/>
        <v>-551</v>
      </c>
      <c r="P31" s="185" t="s">
        <v>1</v>
      </c>
    </row>
    <row r="32" spans="1:16">
      <c r="A32" s="797" t="s">
        <v>104</v>
      </c>
      <c r="B32" s="539"/>
      <c r="C32" s="539"/>
      <c r="D32" s="798"/>
      <c r="E32" s="283"/>
      <c r="F32" s="284">
        <v>14412</v>
      </c>
      <c r="G32" s="283"/>
      <c r="H32" s="284">
        <f>19159-1500</f>
        <v>17659</v>
      </c>
      <c r="I32" s="283"/>
      <c r="J32" s="284">
        <f>19204-1500</f>
        <v>17704</v>
      </c>
      <c r="K32" s="283"/>
      <c r="L32" s="248">
        <f t="shared" si="3"/>
        <v>45</v>
      </c>
      <c r="M32" s="11"/>
      <c r="N32" s="3">
        <v>85</v>
      </c>
      <c r="O32" s="3">
        <f t="shared" si="2"/>
        <v>-45</v>
      </c>
      <c r="P32" s="185" t="s">
        <v>1</v>
      </c>
    </row>
    <row r="33" spans="1:17">
      <c r="A33" s="797" t="s">
        <v>105</v>
      </c>
      <c r="B33" s="539"/>
      <c r="C33" s="539"/>
      <c r="D33" s="798"/>
      <c r="E33" s="283"/>
      <c r="F33" s="284">
        <v>27207</v>
      </c>
      <c r="G33" s="283"/>
      <c r="H33" s="284">
        <v>37512</v>
      </c>
      <c r="I33" s="283"/>
      <c r="J33" s="284">
        <v>27502</v>
      </c>
      <c r="K33" s="283"/>
      <c r="L33" s="248">
        <f t="shared" si="3"/>
        <v>-10010</v>
      </c>
      <c r="M33" s="11"/>
      <c r="N33" s="3">
        <v>37758</v>
      </c>
      <c r="O33" s="3">
        <f t="shared" si="2"/>
        <v>10010</v>
      </c>
      <c r="P33" s="185" t="s">
        <v>1</v>
      </c>
    </row>
    <row r="34" spans="1:17">
      <c r="A34" s="797" t="s">
        <v>299</v>
      </c>
      <c r="B34" s="539"/>
      <c r="C34" s="539"/>
      <c r="D34" s="798"/>
      <c r="E34" s="283"/>
      <c r="F34" s="284">
        <v>5000</v>
      </c>
      <c r="G34" s="283"/>
      <c r="H34" s="284">
        <v>1500</v>
      </c>
      <c r="I34" s="283"/>
      <c r="J34" s="284"/>
      <c r="K34" s="283"/>
      <c r="L34" s="248">
        <f t="shared" si="3"/>
        <v>-1500</v>
      </c>
      <c r="M34" s="11"/>
      <c r="N34" s="3">
        <v>37758</v>
      </c>
      <c r="O34" s="3">
        <f t="shared" si="2"/>
        <v>1500</v>
      </c>
      <c r="P34" s="185" t="s">
        <v>1</v>
      </c>
    </row>
    <row r="35" spans="1:17">
      <c r="A35" s="797" t="s">
        <v>300</v>
      </c>
      <c r="B35" s="539"/>
      <c r="C35" s="539"/>
      <c r="D35" s="798"/>
      <c r="E35" s="283"/>
      <c r="F35" s="284">
        <v>551</v>
      </c>
      <c r="G35" s="283"/>
      <c r="H35" s="284">
        <v>578</v>
      </c>
      <c r="I35" s="283"/>
      <c r="J35" s="284">
        <v>578</v>
      </c>
      <c r="K35" s="283"/>
      <c r="L35" s="248">
        <f t="shared" si="3"/>
        <v>0</v>
      </c>
      <c r="M35" s="11"/>
      <c r="N35" s="3">
        <v>37758</v>
      </c>
      <c r="O35" s="3">
        <f t="shared" si="2"/>
        <v>0</v>
      </c>
      <c r="P35" s="185" t="s">
        <v>1</v>
      </c>
    </row>
    <row r="36" spans="1:17">
      <c r="A36" s="797" t="s">
        <v>301</v>
      </c>
      <c r="B36" s="539"/>
      <c r="C36" s="539"/>
      <c r="D36" s="798"/>
      <c r="E36" s="283"/>
      <c r="F36" s="284">
        <v>33</v>
      </c>
      <c r="G36" s="283"/>
      <c r="H36" s="284">
        <v>154</v>
      </c>
      <c r="I36" s="283"/>
      <c r="J36" s="284">
        <v>154</v>
      </c>
      <c r="K36" s="283"/>
      <c r="L36" s="248">
        <f t="shared" si="3"/>
        <v>0</v>
      </c>
      <c r="M36" s="11"/>
      <c r="N36" s="3">
        <v>37758</v>
      </c>
      <c r="O36" s="3">
        <f t="shared" si="2"/>
        <v>0</v>
      </c>
      <c r="P36" s="185" t="s">
        <v>1</v>
      </c>
    </row>
    <row r="37" spans="1:17">
      <c r="A37" s="802" t="s">
        <v>106</v>
      </c>
      <c r="B37" s="803"/>
      <c r="C37" s="803"/>
      <c r="D37" s="653"/>
      <c r="E37" s="183"/>
      <c r="F37" s="122">
        <f>SUM(F16:F36)</f>
        <v>1054514</v>
      </c>
      <c r="G37" s="183"/>
      <c r="H37" s="122">
        <f>SUM(H16:H36)</f>
        <v>1114772</v>
      </c>
      <c r="I37" s="183"/>
      <c r="J37" s="122">
        <f>SUM(J16:J36)</f>
        <v>1162986</v>
      </c>
      <c r="K37" s="183"/>
      <c r="L37" s="402">
        <f>SUM(L16:L36)</f>
        <v>48214</v>
      </c>
      <c r="M37" s="11">
        <f>SUM(M12:M33)</f>
        <v>9680</v>
      </c>
      <c r="N37" s="3">
        <f>SUM(N16:N33)</f>
        <v>72930</v>
      </c>
      <c r="O37" s="3">
        <f t="shared" si="2"/>
        <v>-48214</v>
      </c>
      <c r="P37" s="185" t="s">
        <v>1</v>
      </c>
    </row>
    <row r="38" spans="1:17" s="154" customFormat="1" ht="16.899999999999999" customHeight="1">
      <c r="A38" s="785" t="s">
        <v>107</v>
      </c>
      <c r="B38" s="786"/>
      <c r="C38" s="786"/>
      <c r="D38" s="787"/>
      <c r="E38" s="285"/>
      <c r="F38" s="452">
        <v>-23</v>
      </c>
      <c r="G38" s="285"/>
      <c r="H38" s="452">
        <f>-F39</f>
        <v>-58</v>
      </c>
      <c r="I38" s="285"/>
      <c r="J38" s="452">
        <f>-H39</f>
        <v>-20</v>
      </c>
      <c r="K38" s="285"/>
      <c r="L38" s="440"/>
      <c r="M38" s="121"/>
      <c r="P38" s="457" t="s">
        <v>1</v>
      </c>
      <c r="Q38" s="139"/>
    </row>
    <row r="39" spans="1:17" s="154" customFormat="1">
      <c r="A39" s="785" t="s">
        <v>108</v>
      </c>
      <c r="B39" s="786"/>
      <c r="C39" s="786"/>
      <c r="D39" s="787"/>
      <c r="E39" s="285"/>
      <c r="F39" s="452">
        <v>58</v>
      </c>
      <c r="G39" s="285"/>
      <c r="H39" s="452">
        <v>20</v>
      </c>
      <c r="I39" s="285"/>
      <c r="J39" s="452">
        <v>21</v>
      </c>
      <c r="K39" s="285"/>
      <c r="L39" s="440"/>
      <c r="M39" s="121"/>
      <c r="P39" s="457" t="s">
        <v>1</v>
      </c>
      <c r="Q39" s="139"/>
    </row>
    <row r="40" spans="1:17" s="154" customFormat="1">
      <c r="A40" s="785" t="s">
        <v>109</v>
      </c>
      <c r="B40" s="786"/>
      <c r="C40" s="786"/>
      <c r="D40" s="787"/>
      <c r="E40" s="285"/>
      <c r="F40" s="452">
        <v>22</v>
      </c>
      <c r="G40" s="285"/>
      <c r="H40" s="452"/>
      <c r="I40" s="285"/>
      <c r="J40" s="452"/>
      <c r="K40" s="285"/>
      <c r="L40" s="440"/>
      <c r="M40" s="121"/>
      <c r="P40" s="457" t="s">
        <v>1</v>
      </c>
      <c r="Q40" s="139"/>
    </row>
    <row r="41" spans="1:17" ht="16.5" thickBot="1">
      <c r="A41" s="788" t="s">
        <v>2</v>
      </c>
      <c r="B41" s="789"/>
      <c r="C41" s="789"/>
      <c r="D41" s="790"/>
      <c r="E41" s="293"/>
      <c r="F41" s="294">
        <f>F37-F38+F39-F40</f>
        <v>1054573</v>
      </c>
      <c r="G41" s="293"/>
      <c r="H41" s="294">
        <f>H37-H38+H39-H40</f>
        <v>1114850</v>
      </c>
      <c r="I41" s="293"/>
      <c r="J41" s="294">
        <f>J37-J38+J39-J40</f>
        <v>1163027</v>
      </c>
      <c r="K41" s="293"/>
      <c r="L41" s="295">
        <f>J41-H41</f>
        <v>48177</v>
      </c>
      <c r="M41" s="11"/>
      <c r="P41" s="185" t="s">
        <v>1</v>
      </c>
    </row>
    <row r="42" spans="1:17">
      <c r="A42" s="794" t="s">
        <v>217</v>
      </c>
      <c r="B42" s="795"/>
      <c r="C42" s="795"/>
      <c r="D42" s="796"/>
      <c r="E42" s="283"/>
      <c r="F42" s="284"/>
      <c r="G42" s="283"/>
      <c r="H42" s="284"/>
      <c r="I42" s="283"/>
      <c r="J42" s="284"/>
      <c r="K42" s="283"/>
      <c r="L42" s="248"/>
      <c r="M42" s="11"/>
      <c r="P42" s="185" t="s">
        <v>1</v>
      </c>
    </row>
    <row r="43" spans="1:17">
      <c r="A43" s="797" t="s">
        <v>96</v>
      </c>
      <c r="B43" s="539"/>
      <c r="C43" s="539"/>
      <c r="D43" s="798"/>
      <c r="E43" s="451">
        <v>57</v>
      </c>
      <c r="F43" s="452"/>
      <c r="G43" s="451">
        <f>'[5]B. Summary of Requirements '!L83</f>
        <v>55</v>
      </c>
      <c r="H43" s="452"/>
      <c r="I43" s="451">
        <f>'[5]B. Summary of Requirements '!AB83</f>
        <v>64</v>
      </c>
      <c r="J43" s="284"/>
      <c r="K43" s="285">
        <f>I43-G43</f>
        <v>9</v>
      </c>
      <c r="L43" s="248">
        <f>J43-H43</f>
        <v>0</v>
      </c>
      <c r="M43" s="11"/>
      <c r="P43" s="185" t="s">
        <v>1</v>
      </c>
    </row>
    <row r="44" spans="1:17">
      <c r="A44" s="799" t="s">
        <v>3</v>
      </c>
      <c r="B44" s="800"/>
      <c r="C44" s="800"/>
      <c r="D44" s="801"/>
      <c r="E44" s="283"/>
      <c r="F44" s="284"/>
      <c r="G44" s="283"/>
      <c r="H44" s="284"/>
      <c r="I44" s="283"/>
      <c r="J44" s="284"/>
      <c r="K44" s="285"/>
      <c r="L44" s="248">
        <f>J44-H44</f>
        <v>0</v>
      </c>
      <c r="M44" s="11"/>
      <c r="P44" s="185" t="s">
        <v>1</v>
      </c>
    </row>
    <row r="45" spans="1:17">
      <c r="A45" s="791" t="s">
        <v>4</v>
      </c>
      <c r="B45" s="792"/>
      <c r="C45" s="792"/>
      <c r="D45" s="793"/>
      <c r="E45" s="359"/>
      <c r="F45" s="360"/>
      <c r="G45" s="359"/>
      <c r="H45" s="360"/>
      <c r="I45" s="359"/>
      <c r="J45" s="360"/>
      <c r="K45" s="361"/>
      <c r="L45" s="362">
        <f>J45-H45</f>
        <v>0</v>
      </c>
      <c r="M45" s="11"/>
      <c r="P45" s="185" t="s">
        <v>1</v>
      </c>
    </row>
    <row r="46" spans="1:17">
      <c r="A46" s="159"/>
      <c r="B46" s="173"/>
      <c r="C46" s="153"/>
      <c r="D46" s="174"/>
      <c r="E46" s="153"/>
      <c r="F46" s="153"/>
      <c r="G46" s="153"/>
      <c r="H46" s="153"/>
      <c r="I46" s="153"/>
      <c r="J46" s="153"/>
      <c r="K46" s="153"/>
      <c r="L46" s="153"/>
      <c r="M46" s="11"/>
      <c r="P46" s="185" t="s">
        <v>41</v>
      </c>
    </row>
    <row r="47" spans="1:17">
      <c r="A47" s="818"/>
      <c r="B47" s="717"/>
      <c r="C47" s="717"/>
      <c r="D47" s="717"/>
      <c r="E47" s="717"/>
      <c r="F47" s="717"/>
      <c r="G47" s="717"/>
      <c r="H47" s="717"/>
      <c r="I47" s="717"/>
      <c r="J47" s="717"/>
      <c r="K47" s="717"/>
      <c r="L47" s="717"/>
      <c r="M47" s="717"/>
      <c r="N47" s="717"/>
      <c r="O47" s="717"/>
      <c r="P47" s="717"/>
    </row>
    <row r="48" spans="1:17">
      <c r="K48" s="30"/>
      <c r="L48" s="30"/>
      <c r="M48" s="11"/>
    </row>
    <row r="49" spans="11:13">
      <c r="K49" s="26"/>
      <c r="L49" s="26"/>
      <c r="M49" s="11"/>
    </row>
    <row r="50" spans="11:13">
      <c r="K50" s="26"/>
      <c r="L50" s="26"/>
      <c r="M50" s="11"/>
    </row>
    <row r="51" spans="11:13">
      <c r="K51" s="26"/>
      <c r="L51" s="26"/>
      <c r="M51" s="11"/>
    </row>
    <row r="52" spans="11:13">
      <c r="K52" s="26"/>
      <c r="L52" s="26"/>
      <c r="M52" s="11"/>
    </row>
    <row r="53" spans="11:13">
      <c r="K53" s="26"/>
      <c r="L53" s="26"/>
      <c r="M53" s="11"/>
    </row>
    <row r="54" spans="11:13">
      <c r="K54" s="26"/>
      <c r="L54" s="26"/>
      <c r="M54" s="11"/>
    </row>
    <row r="55" spans="11:13">
      <c r="K55" s="26"/>
      <c r="L55" s="26"/>
      <c r="M55" s="11"/>
    </row>
    <row r="56" spans="11:13">
      <c r="K56" s="26"/>
      <c r="L56" s="26"/>
      <c r="M56" s="11"/>
    </row>
    <row r="57" spans="11:13">
      <c r="K57" s="26"/>
      <c r="L57" s="26"/>
      <c r="M57" s="11"/>
    </row>
    <row r="58" spans="11:13">
      <c r="K58" s="26"/>
      <c r="L58" s="26"/>
      <c r="M58" s="11"/>
    </row>
    <row r="59" spans="11:13">
      <c r="K59" s="26"/>
      <c r="L59" s="27"/>
      <c r="M59" s="11"/>
    </row>
    <row r="60" spans="11:13">
      <c r="K60" s="26"/>
      <c r="L60" s="27"/>
      <c r="M60" s="11"/>
    </row>
    <row r="61" spans="11:13">
      <c r="K61" s="26"/>
      <c r="L61" s="26"/>
      <c r="M61" s="11"/>
    </row>
    <row r="62" spans="11:13">
      <c r="K62" s="26"/>
      <c r="L62" s="26"/>
      <c r="M62" s="11"/>
    </row>
    <row r="63" spans="11:13">
      <c r="K63" s="26"/>
      <c r="L63" s="26"/>
      <c r="M63" s="11"/>
    </row>
    <row r="64" spans="11:13">
      <c r="K64" s="26"/>
      <c r="L64" s="26"/>
      <c r="M64" s="11"/>
    </row>
    <row r="65" spans="11:13">
      <c r="K65" s="26"/>
      <c r="L65" s="26"/>
      <c r="M65" s="11"/>
    </row>
    <row r="66" spans="11:13">
      <c r="K66" s="26"/>
      <c r="L66" s="26"/>
      <c r="M66" s="11"/>
    </row>
    <row r="67" spans="11:13">
      <c r="K67" s="26"/>
      <c r="L67" s="26"/>
      <c r="M67" s="11"/>
    </row>
    <row r="68" spans="11:13">
      <c r="K68" s="26"/>
      <c r="L68" s="26"/>
      <c r="M68" s="11"/>
    </row>
    <row r="69" spans="11:13">
      <c r="K69" s="26"/>
      <c r="L69" s="26"/>
      <c r="M69" s="11"/>
    </row>
    <row r="70" spans="11:13">
      <c r="K70" s="26"/>
      <c r="L70" s="26"/>
      <c r="M70" s="11"/>
    </row>
    <row r="71" spans="11:13">
      <c r="K71" s="26"/>
      <c r="L71" s="26"/>
      <c r="M71" s="11"/>
    </row>
    <row r="72" spans="11:13">
      <c r="K72" s="26"/>
      <c r="L72" s="26"/>
      <c r="M72" s="11"/>
    </row>
    <row r="73" spans="11:13">
      <c r="K73" s="26"/>
      <c r="L73" s="26"/>
      <c r="M73" s="11"/>
    </row>
    <row r="74" spans="11:13">
      <c r="K74" s="31"/>
      <c r="L74" s="26"/>
      <c r="M74" s="11"/>
    </row>
    <row r="75" spans="11:13">
      <c r="K75" s="11"/>
      <c r="L75" s="11"/>
      <c r="M75" s="11"/>
    </row>
    <row r="76" spans="11:13">
      <c r="K76" s="10"/>
      <c r="L76" s="10"/>
      <c r="M76" s="11"/>
    </row>
    <row r="77" spans="11:13">
      <c r="K77" s="10"/>
      <c r="L77" s="10"/>
      <c r="M77" s="11"/>
    </row>
    <row r="78" spans="11:13">
      <c r="K78" s="10"/>
      <c r="L78" s="10"/>
      <c r="M78" s="11"/>
    </row>
    <row r="79" spans="11:13">
      <c r="K79" s="10"/>
      <c r="L79" s="10"/>
      <c r="M79" s="11"/>
    </row>
    <row r="80" spans="11:13">
      <c r="M80" s="11"/>
    </row>
    <row r="81" spans="13:13">
      <c r="M81" s="11"/>
    </row>
  </sheetData>
  <mergeCells count="48">
    <mergeCell ref="A20:D20"/>
    <mergeCell ref="A19:D19"/>
    <mergeCell ref="A47:P47"/>
    <mergeCell ref="A24:D24"/>
    <mergeCell ref="A25:D25"/>
    <mergeCell ref="A26:D26"/>
    <mergeCell ref="A27:D27"/>
    <mergeCell ref="A28:D28"/>
    <mergeCell ref="A29:D29"/>
    <mergeCell ref="A30:D30"/>
    <mergeCell ref="A31:D31"/>
    <mergeCell ref="A32:D32"/>
    <mergeCell ref="A5:L5"/>
    <mergeCell ref="A8:D9"/>
    <mergeCell ref="A22:D22"/>
    <mergeCell ref="A23:D23"/>
    <mergeCell ref="A17:D17"/>
    <mergeCell ref="A16:D16"/>
    <mergeCell ref="E8:F8"/>
    <mergeCell ref="A21:D21"/>
    <mergeCell ref="A12:D12"/>
    <mergeCell ref="A13:D13"/>
    <mergeCell ref="A1:L1"/>
    <mergeCell ref="A2:L2"/>
    <mergeCell ref="A3:L3"/>
    <mergeCell ref="A4:L4"/>
    <mergeCell ref="A33:D33"/>
    <mergeCell ref="A10:D10"/>
    <mergeCell ref="A11:D11"/>
    <mergeCell ref="A6:L6"/>
    <mergeCell ref="K8:L8"/>
    <mergeCell ref="I8:J8"/>
    <mergeCell ref="G8:H8"/>
    <mergeCell ref="A14:D14"/>
    <mergeCell ref="A15:D15"/>
    <mergeCell ref="A18:D18"/>
    <mergeCell ref="A37:D37"/>
    <mergeCell ref="A38:D38"/>
    <mergeCell ref="A39:D39"/>
    <mergeCell ref="A34:D34"/>
    <mergeCell ref="A35:D35"/>
    <mergeCell ref="A36:D36"/>
    <mergeCell ref="A40:D40"/>
    <mergeCell ref="A41:D41"/>
    <mergeCell ref="A45:D45"/>
    <mergeCell ref="A42:D42"/>
    <mergeCell ref="A43:D43"/>
    <mergeCell ref="A44:D44"/>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8"/>
  <dimension ref="A1:IV24"/>
  <sheetViews>
    <sheetView view="pageBreakPreview" zoomScaleNormal="100" zoomScaleSheetLayoutView="100" workbookViewId="0">
      <selection activeCell="L14" sqref="L14"/>
    </sheetView>
  </sheetViews>
  <sheetFormatPr defaultRowHeight="15"/>
  <cols>
    <col min="11" max="11" width="1.33203125" customWidth="1"/>
  </cols>
  <sheetData>
    <row r="1" spans="1:256" ht="20.25">
      <c r="A1" s="335" t="s">
        <v>0</v>
      </c>
      <c r="K1" s="185" t="s">
        <v>1</v>
      </c>
    </row>
    <row r="2" spans="1:256" ht="20.25">
      <c r="A2" s="39"/>
      <c r="B2" s="336"/>
      <c r="C2" s="336"/>
      <c r="D2" s="336"/>
      <c r="E2" s="336"/>
      <c r="F2" s="336"/>
      <c r="G2" s="336"/>
      <c r="H2" s="336"/>
      <c r="I2" s="336"/>
      <c r="J2" s="336"/>
      <c r="K2" s="185" t="s">
        <v>1</v>
      </c>
    </row>
    <row r="3" spans="1:256" ht="20.25">
      <c r="A3" s="39"/>
      <c r="B3" s="336"/>
      <c r="C3" s="336"/>
      <c r="D3" s="336"/>
      <c r="E3" s="336"/>
      <c r="F3" s="336"/>
      <c r="G3" s="336"/>
      <c r="H3" s="336"/>
      <c r="I3" s="336"/>
      <c r="J3" s="336"/>
      <c r="K3" s="185" t="s">
        <v>1</v>
      </c>
    </row>
    <row r="4" spans="1:256" ht="20.25">
      <c r="A4" s="827" t="str">
        <f>+'B. Summary of Requirements '!A5:AB5</f>
        <v>Bureau of Alcohol, Tobacco, Firearms and Explosives</v>
      </c>
      <c r="B4" s="502"/>
      <c r="C4" s="502"/>
      <c r="D4" s="502"/>
      <c r="E4" s="502"/>
      <c r="F4" s="502"/>
      <c r="G4" s="502"/>
      <c r="H4" s="502"/>
      <c r="I4" s="502"/>
      <c r="J4" s="502"/>
      <c r="K4" s="185" t="s">
        <v>1</v>
      </c>
    </row>
    <row r="5" spans="1:256">
      <c r="A5" s="336"/>
      <c r="B5" s="336"/>
      <c r="C5" s="336"/>
      <c r="D5" s="336"/>
      <c r="E5" s="336"/>
      <c r="F5" s="336"/>
      <c r="G5" s="336"/>
      <c r="H5" s="336"/>
      <c r="I5" s="336"/>
      <c r="J5" s="336"/>
      <c r="K5" s="185" t="s">
        <v>1</v>
      </c>
    </row>
    <row r="6" spans="1:256" ht="15.75">
      <c r="A6" s="828" t="s">
        <v>205</v>
      </c>
      <c r="B6" s="829"/>
      <c r="C6" s="829"/>
      <c r="D6" s="829"/>
      <c r="E6" s="829"/>
      <c r="F6" s="829"/>
      <c r="G6" s="829"/>
      <c r="H6" s="829"/>
      <c r="I6" s="829"/>
      <c r="J6" s="829"/>
      <c r="K6" s="185" t="s">
        <v>1</v>
      </c>
    </row>
    <row r="7" spans="1:256" ht="15.75">
      <c r="A7" s="830" t="str">
        <f>+'[4](C) Sum of Req '!A7</f>
        <v>(Dollars in Thousands)</v>
      </c>
      <c r="B7" s="831"/>
      <c r="C7" s="831"/>
      <c r="D7" s="831"/>
      <c r="E7" s="831"/>
      <c r="F7" s="831"/>
      <c r="G7" s="831"/>
      <c r="H7" s="831"/>
      <c r="I7" s="831"/>
      <c r="J7" s="831"/>
      <c r="K7" s="185" t="s">
        <v>1</v>
      </c>
    </row>
    <row r="8" spans="1:256">
      <c r="A8" s="337"/>
      <c r="B8" s="337"/>
      <c r="C8" s="337"/>
      <c r="D8" s="337"/>
      <c r="E8" s="337"/>
      <c r="F8" s="337"/>
      <c r="G8" s="337"/>
      <c r="H8" s="337"/>
      <c r="I8" s="337"/>
      <c r="J8" s="337"/>
      <c r="K8" s="185" t="s">
        <v>1</v>
      </c>
    </row>
    <row r="9" spans="1:256" ht="15.75">
      <c r="A9" s="338"/>
      <c r="B9" s="338"/>
      <c r="C9" s="338"/>
      <c r="D9" s="338"/>
      <c r="E9" s="339"/>
      <c r="F9" s="339"/>
      <c r="G9" s="339"/>
      <c r="H9" s="339"/>
      <c r="I9" s="339"/>
      <c r="J9" s="338"/>
      <c r="K9" s="185" t="s">
        <v>1</v>
      </c>
    </row>
    <row r="10" spans="1:256" ht="15.75">
      <c r="A10" s="832" t="s">
        <v>26</v>
      </c>
      <c r="B10" s="832"/>
      <c r="C10" s="832"/>
      <c r="D10" s="832"/>
      <c r="E10" s="832"/>
      <c r="F10" s="832"/>
      <c r="G10" s="832"/>
      <c r="H10" s="832"/>
      <c r="I10" s="832"/>
      <c r="J10" s="832"/>
      <c r="K10" s="185" t="s">
        <v>1</v>
      </c>
    </row>
    <row r="11" spans="1:256" ht="15.75">
      <c r="A11" s="340"/>
      <c r="B11" s="340"/>
      <c r="C11" s="340"/>
      <c r="D11" s="340"/>
      <c r="E11" s="340"/>
      <c r="F11" s="340"/>
      <c r="G11" s="340"/>
      <c r="H11" s="340"/>
      <c r="I11" s="340"/>
      <c r="J11" s="340"/>
      <c r="K11" s="185" t="s">
        <v>1</v>
      </c>
    </row>
    <row r="12" spans="1:256" s="139" customFormat="1" ht="15" customHeight="1">
      <c r="A12" s="826" t="s">
        <v>260</v>
      </c>
      <c r="B12" s="826"/>
      <c r="C12" s="826"/>
      <c r="D12" s="826"/>
      <c r="E12" s="826"/>
      <c r="F12" s="826"/>
      <c r="G12" s="826"/>
      <c r="H12" s="826"/>
      <c r="I12" s="826"/>
      <c r="J12" s="826"/>
      <c r="K12" s="457" t="s">
        <v>1</v>
      </c>
    </row>
    <row r="13" spans="1:256" s="139" customFormat="1" ht="15" customHeight="1">
      <c r="A13" s="823"/>
      <c r="B13" s="823"/>
      <c r="C13" s="823"/>
      <c r="D13" s="823"/>
      <c r="E13" s="823"/>
      <c r="F13" s="823"/>
      <c r="G13" s="823"/>
      <c r="H13" s="823"/>
      <c r="I13" s="823"/>
      <c r="J13" s="823"/>
      <c r="K13" s="457" t="s">
        <v>1</v>
      </c>
      <c r="L13" s="459"/>
      <c r="M13" s="459"/>
      <c r="N13" s="459"/>
      <c r="O13" s="459"/>
      <c r="P13" s="459"/>
      <c r="Q13" s="459"/>
      <c r="R13" s="459"/>
      <c r="S13" s="459"/>
      <c r="T13" s="459"/>
      <c r="U13" s="823"/>
      <c r="V13" s="823"/>
      <c r="W13" s="823"/>
      <c r="X13" s="823"/>
      <c r="Y13" s="823"/>
      <c r="Z13" s="823"/>
      <c r="AA13" s="823"/>
      <c r="AB13" s="823"/>
      <c r="AC13" s="823"/>
      <c r="AD13" s="823"/>
      <c r="AE13" s="823"/>
      <c r="AF13" s="823"/>
      <c r="AG13" s="823"/>
      <c r="AH13" s="823"/>
      <c r="AI13" s="823"/>
      <c r="AJ13" s="823"/>
      <c r="AK13" s="823"/>
      <c r="AL13" s="823"/>
      <c r="AM13" s="823"/>
      <c r="AN13" s="823"/>
      <c r="AO13" s="823"/>
      <c r="AP13" s="823"/>
      <c r="AQ13" s="823"/>
      <c r="AR13" s="823"/>
      <c r="AS13" s="823"/>
      <c r="AT13" s="823"/>
      <c r="AU13" s="823"/>
      <c r="AV13" s="823"/>
      <c r="AW13" s="823"/>
      <c r="AX13" s="823"/>
      <c r="AY13" s="823"/>
      <c r="AZ13" s="823"/>
      <c r="BA13" s="823"/>
      <c r="BB13" s="823"/>
      <c r="BC13" s="823"/>
      <c r="BD13" s="823"/>
      <c r="BE13" s="823"/>
      <c r="BF13" s="823"/>
      <c r="BG13" s="823"/>
      <c r="BH13" s="823"/>
      <c r="BI13" s="823"/>
      <c r="BJ13" s="823"/>
      <c r="BK13" s="823"/>
      <c r="BL13" s="823"/>
      <c r="BM13" s="823"/>
      <c r="BN13" s="823"/>
      <c r="BO13" s="823"/>
      <c r="BP13" s="823"/>
      <c r="BQ13" s="823"/>
      <c r="BR13" s="823"/>
      <c r="BS13" s="823"/>
      <c r="BT13" s="823"/>
      <c r="BU13" s="823"/>
      <c r="BV13" s="823"/>
      <c r="BW13" s="823"/>
      <c r="BX13" s="823"/>
      <c r="BY13" s="823"/>
      <c r="BZ13" s="823"/>
      <c r="CA13" s="823"/>
      <c r="CB13" s="823"/>
      <c r="CC13" s="823"/>
      <c r="CD13" s="823"/>
      <c r="CE13" s="823"/>
      <c r="CF13" s="823"/>
      <c r="CG13" s="823"/>
      <c r="CH13" s="823"/>
      <c r="CI13" s="823"/>
      <c r="CJ13" s="823"/>
      <c r="CK13" s="823"/>
      <c r="CL13" s="823"/>
      <c r="CM13" s="823"/>
      <c r="CN13" s="823"/>
      <c r="CO13" s="823"/>
      <c r="CP13" s="823"/>
      <c r="CQ13" s="823"/>
      <c r="CR13" s="823"/>
      <c r="CS13" s="823"/>
      <c r="CT13" s="823"/>
      <c r="CU13" s="823"/>
      <c r="CV13" s="823"/>
      <c r="CW13" s="823"/>
      <c r="CX13" s="823"/>
      <c r="CY13" s="823"/>
      <c r="CZ13" s="823"/>
      <c r="DA13" s="823"/>
      <c r="DB13" s="823"/>
      <c r="DC13" s="823"/>
      <c r="DD13" s="823"/>
      <c r="DE13" s="823"/>
      <c r="DF13" s="823"/>
      <c r="DG13" s="823"/>
      <c r="DH13" s="823"/>
      <c r="DI13" s="823"/>
      <c r="DJ13" s="823"/>
      <c r="DK13" s="823"/>
      <c r="DL13" s="823"/>
      <c r="DM13" s="823"/>
      <c r="DN13" s="823"/>
      <c r="DO13" s="823"/>
      <c r="DP13" s="823"/>
      <c r="DQ13" s="823"/>
      <c r="DR13" s="823"/>
      <c r="DS13" s="823"/>
      <c r="DT13" s="823"/>
      <c r="DU13" s="823"/>
      <c r="DV13" s="823"/>
      <c r="DW13" s="823"/>
      <c r="DX13" s="823"/>
      <c r="DY13" s="823"/>
      <c r="DZ13" s="823"/>
      <c r="EA13" s="823"/>
      <c r="EB13" s="823"/>
      <c r="EC13" s="823"/>
      <c r="ED13" s="823"/>
      <c r="EE13" s="823"/>
      <c r="EF13" s="823"/>
      <c r="EG13" s="823"/>
      <c r="EH13" s="823"/>
      <c r="EI13" s="823"/>
      <c r="EJ13" s="823"/>
      <c r="EK13" s="823"/>
      <c r="EL13" s="823"/>
      <c r="EM13" s="823"/>
      <c r="EN13" s="823"/>
      <c r="EO13" s="823"/>
      <c r="EP13" s="823"/>
      <c r="EQ13" s="823"/>
      <c r="ER13" s="823"/>
      <c r="ES13" s="823"/>
      <c r="ET13" s="823"/>
      <c r="EU13" s="823"/>
      <c r="EV13" s="823"/>
      <c r="EW13" s="823"/>
      <c r="EX13" s="823"/>
      <c r="EY13" s="823"/>
      <c r="EZ13" s="823"/>
      <c r="FA13" s="823"/>
      <c r="FB13" s="823"/>
      <c r="FC13" s="823"/>
      <c r="FD13" s="823"/>
      <c r="FE13" s="823"/>
      <c r="FF13" s="823"/>
      <c r="FG13" s="823"/>
      <c r="FH13" s="823"/>
      <c r="FI13" s="823"/>
      <c r="FJ13" s="823"/>
      <c r="FK13" s="823"/>
      <c r="FL13" s="823"/>
      <c r="FM13" s="823"/>
      <c r="FN13" s="823"/>
      <c r="FO13" s="823"/>
      <c r="FP13" s="823"/>
      <c r="FQ13" s="823"/>
      <c r="FR13" s="823"/>
      <c r="FS13" s="823"/>
      <c r="FT13" s="823"/>
      <c r="FU13" s="823"/>
      <c r="FV13" s="823"/>
      <c r="FW13" s="823"/>
      <c r="FX13" s="823"/>
      <c r="FY13" s="823"/>
      <c r="FZ13" s="823"/>
      <c r="GA13" s="823"/>
      <c r="GB13" s="823"/>
      <c r="GC13" s="823"/>
      <c r="GD13" s="823"/>
      <c r="GE13" s="823"/>
      <c r="GF13" s="823"/>
      <c r="GG13" s="823"/>
      <c r="GH13" s="823"/>
      <c r="GI13" s="823"/>
      <c r="GJ13" s="823"/>
      <c r="GK13" s="823"/>
      <c r="GL13" s="823"/>
      <c r="GM13" s="823"/>
      <c r="GN13" s="823"/>
      <c r="GO13" s="823"/>
      <c r="GP13" s="823"/>
      <c r="GQ13" s="823"/>
      <c r="GR13" s="823"/>
      <c r="GS13" s="823"/>
      <c r="GT13" s="823"/>
      <c r="GU13" s="823"/>
      <c r="GV13" s="823"/>
      <c r="GW13" s="823"/>
      <c r="GX13" s="823"/>
      <c r="GY13" s="823"/>
      <c r="GZ13" s="823"/>
      <c r="HA13" s="823"/>
      <c r="HB13" s="823"/>
      <c r="HC13" s="823"/>
      <c r="HD13" s="823"/>
      <c r="HE13" s="823"/>
      <c r="HF13" s="823"/>
      <c r="HG13" s="823"/>
      <c r="HH13" s="823"/>
      <c r="HI13" s="823"/>
      <c r="HJ13" s="823"/>
      <c r="HK13" s="823"/>
      <c r="HL13" s="823"/>
      <c r="HM13" s="823"/>
      <c r="HN13" s="823"/>
      <c r="HO13" s="823"/>
      <c r="HP13" s="823"/>
      <c r="HQ13" s="823"/>
      <c r="HR13" s="823"/>
      <c r="HS13" s="823"/>
      <c r="HT13" s="823"/>
      <c r="HU13" s="823"/>
      <c r="HV13" s="823"/>
      <c r="HW13" s="823"/>
      <c r="HX13" s="823"/>
      <c r="HY13" s="823"/>
      <c r="HZ13" s="823"/>
      <c r="IA13" s="823"/>
      <c r="IB13" s="823"/>
      <c r="IC13" s="823"/>
      <c r="ID13" s="823"/>
      <c r="IE13" s="823"/>
      <c r="IF13" s="823"/>
      <c r="IG13" s="823"/>
      <c r="IH13" s="823"/>
      <c r="II13" s="823"/>
      <c r="IJ13" s="823"/>
      <c r="IK13" s="823"/>
      <c r="IL13" s="823"/>
      <c r="IM13" s="823"/>
      <c r="IN13" s="823"/>
      <c r="IO13" s="823"/>
      <c r="IP13" s="823"/>
      <c r="IQ13" s="823"/>
      <c r="IR13" s="823"/>
      <c r="IS13" s="823"/>
      <c r="IT13" s="823"/>
      <c r="IU13" s="823"/>
      <c r="IV13" s="823"/>
    </row>
    <row r="14" spans="1:256" s="139" customFormat="1" ht="153.75" customHeight="1">
      <c r="A14" s="822" t="s">
        <v>263</v>
      </c>
      <c r="B14" s="822"/>
      <c r="C14" s="822"/>
      <c r="D14" s="822"/>
      <c r="E14" s="822"/>
      <c r="F14" s="822"/>
      <c r="G14" s="822"/>
      <c r="H14" s="822"/>
      <c r="I14" s="822"/>
      <c r="J14" s="822"/>
      <c r="K14" s="457" t="s">
        <v>1</v>
      </c>
      <c r="L14" s="460"/>
      <c r="M14" s="459"/>
      <c r="N14" s="459"/>
      <c r="O14" s="459"/>
      <c r="P14" s="459"/>
      <c r="Q14" s="459"/>
      <c r="R14" s="459"/>
      <c r="S14" s="459"/>
      <c r="T14" s="459"/>
      <c r="U14" s="823"/>
      <c r="V14" s="823"/>
      <c r="W14" s="823"/>
      <c r="X14" s="823"/>
      <c r="Y14" s="823"/>
      <c r="Z14" s="823"/>
      <c r="AA14" s="823"/>
      <c r="AB14" s="823"/>
      <c r="AC14" s="823"/>
      <c r="AD14" s="823"/>
      <c r="AE14" s="823"/>
      <c r="AF14" s="823"/>
      <c r="AG14" s="823"/>
      <c r="AH14" s="823"/>
      <c r="AI14" s="823"/>
      <c r="AJ14" s="823"/>
      <c r="AK14" s="823"/>
      <c r="AL14" s="823"/>
      <c r="AM14" s="823"/>
      <c r="AN14" s="823"/>
      <c r="AO14" s="823"/>
      <c r="AP14" s="823"/>
      <c r="AQ14" s="823"/>
      <c r="AR14" s="823"/>
      <c r="AS14" s="823"/>
      <c r="AT14" s="823"/>
      <c r="AU14" s="823"/>
      <c r="AV14" s="823"/>
      <c r="AW14" s="823"/>
      <c r="AX14" s="823"/>
      <c r="AY14" s="823"/>
      <c r="AZ14" s="823"/>
      <c r="BA14" s="823"/>
      <c r="BB14" s="823"/>
      <c r="BC14" s="823"/>
      <c r="BD14" s="823"/>
      <c r="BE14" s="823"/>
      <c r="BF14" s="823"/>
      <c r="BG14" s="823"/>
      <c r="BH14" s="823"/>
      <c r="BI14" s="823"/>
      <c r="BJ14" s="823"/>
      <c r="BK14" s="823"/>
      <c r="BL14" s="823"/>
      <c r="BM14" s="823"/>
      <c r="BN14" s="823"/>
      <c r="BO14" s="823"/>
      <c r="BP14" s="823"/>
      <c r="BQ14" s="823"/>
      <c r="BR14" s="823"/>
      <c r="BS14" s="823"/>
      <c r="BT14" s="823"/>
      <c r="BU14" s="823"/>
      <c r="BV14" s="823"/>
      <c r="BW14" s="823"/>
      <c r="BX14" s="823"/>
      <c r="BY14" s="823"/>
      <c r="BZ14" s="823"/>
      <c r="CA14" s="823"/>
      <c r="CB14" s="823"/>
      <c r="CC14" s="823"/>
      <c r="CD14" s="823"/>
      <c r="CE14" s="823"/>
      <c r="CF14" s="823"/>
      <c r="CG14" s="823"/>
      <c r="CH14" s="823"/>
      <c r="CI14" s="823"/>
      <c r="CJ14" s="823"/>
      <c r="CK14" s="823"/>
      <c r="CL14" s="823"/>
      <c r="CM14" s="823"/>
      <c r="CN14" s="823"/>
      <c r="CO14" s="823"/>
      <c r="CP14" s="823"/>
      <c r="CQ14" s="823"/>
      <c r="CR14" s="823"/>
      <c r="CS14" s="823"/>
      <c r="CT14" s="823"/>
      <c r="CU14" s="823"/>
      <c r="CV14" s="823"/>
      <c r="CW14" s="823"/>
      <c r="CX14" s="823"/>
      <c r="CY14" s="823"/>
      <c r="CZ14" s="823"/>
      <c r="DA14" s="823"/>
      <c r="DB14" s="823"/>
      <c r="DC14" s="823"/>
      <c r="DD14" s="823"/>
      <c r="DE14" s="823"/>
      <c r="DF14" s="823"/>
      <c r="DG14" s="823"/>
      <c r="DH14" s="823"/>
      <c r="DI14" s="823"/>
      <c r="DJ14" s="823"/>
      <c r="DK14" s="823"/>
      <c r="DL14" s="823"/>
      <c r="DM14" s="823"/>
      <c r="DN14" s="823"/>
      <c r="DO14" s="823"/>
      <c r="DP14" s="823"/>
      <c r="DQ14" s="823"/>
      <c r="DR14" s="823"/>
      <c r="DS14" s="823"/>
      <c r="DT14" s="823"/>
      <c r="DU14" s="823"/>
      <c r="DV14" s="823"/>
      <c r="DW14" s="823"/>
      <c r="DX14" s="823"/>
      <c r="DY14" s="823"/>
      <c r="DZ14" s="823"/>
      <c r="EA14" s="823"/>
      <c r="EB14" s="823"/>
      <c r="EC14" s="823"/>
      <c r="ED14" s="823"/>
      <c r="EE14" s="823"/>
      <c r="EF14" s="823"/>
      <c r="EG14" s="823"/>
      <c r="EH14" s="823"/>
      <c r="EI14" s="823"/>
      <c r="EJ14" s="823"/>
      <c r="EK14" s="823"/>
      <c r="EL14" s="823"/>
      <c r="EM14" s="823"/>
      <c r="EN14" s="823"/>
      <c r="EO14" s="823"/>
      <c r="EP14" s="823"/>
      <c r="EQ14" s="823"/>
      <c r="ER14" s="823"/>
      <c r="ES14" s="823"/>
      <c r="ET14" s="823"/>
      <c r="EU14" s="823"/>
      <c r="EV14" s="823"/>
      <c r="EW14" s="823"/>
      <c r="EX14" s="823"/>
      <c r="EY14" s="823"/>
      <c r="EZ14" s="823"/>
      <c r="FA14" s="823"/>
      <c r="FB14" s="823"/>
      <c r="FC14" s="823"/>
      <c r="FD14" s="823"/>
      <c r="FE14" s="823"/>
      <c r="FF14" s="823"/>
      <c r="FG14" s="823"/>
      <c r="FH14" s="823"/>
      <c r="FI14" s="823"/>
      <c r="FJ14" s="823"/>
      <c r="FK14" s="823"/>
      <c r="FL14" s="823"/>
      <c r="FM14" s="823"/>
      <c r="FN14" s="823"/>
      <c r="FO14" s="823"/>
      <c r="FP14" s="823"/>
      <c r="FQ14" s="823"/>
      <c r="FR14" s="823"/>
      <c r="FS14" s="823"/>
      <c r="FT14" s="823"/>
      <c r="FU14" s="823"/>
      <c r="FV14" s="823"/>
      <c r="FW14" s="823"/>
      <c r="FX14" s="823"/>
      <c r="FY14" s="823"/>
      <c r="FZ14" s="823"/>
      <c r="GA14" s="823"/>
      <c r="GB14" s="823"/>
      <c r="GC14" s="823"/>
      <c r="GD14" s="823"/>
      <c r="GE14" s="823"/>
      <c r="GF14" s="823"/>
      <c r="GG14" s="823"/>
      <c r="GH14" s="823"/>
      <c r="GI14" s="823"/>
      <c r="GJ14" s="823"/>
      <c r="GK14" s="823"/>
      <c r="GL14" s="823"/>
      <c r="GM14" s="823"/>
      <c r="GN14" s="823"/>
      <c r="GO14" s="823"/>
      <c r="GP14" s="823"/>
      <c r="GQ14" s="823"/>
      <c r="GR14" s="823"/>
      <c r="GS14" s="823"/>
      <c r="GT14" s="823"/>
      <c r="GU14" s="823"/>
      <c r="GV14" s="823"/>
      <c r="GW14" s="823"/>
      <c r="GX14" s="823"/>
      <c r="GY14" s="823"/>
      <c r="GZ14" s="823"/>
      <c r="HA14" s="823"/>
      <c r="HB14" s="823"/>
      <c r="HC14" s="823"/>
      <c r="HD14" s="823"/>
      <c r="HE14" s="823"/>
      <c r="HF14" s="823"/>
      <c r="HG14" s="823"/>
      <c r="HH14" s="823"/>
      <c r="HI14" s="823"/>
      <c r="HJ14" s="823"/>
      <c r="HK14" s="823"/>
      <c r="HL14" s="823"/>
      <c r="HM14" s="823"/>
      <c r="HN14" s="823"/>
      <c r="HO14" s="823"/>
      <c r="HP14" s="823"/>
      <c r="HQ14" s="823"/>
      <c r="HR14" s="823"/>
      <c r="HS14" s="823"/>
      <c r="HT14" s="823"/>
      <c r="HU14" s="823"/>
      <c r="HV14" s="823"/>
      <c r="HW14" s="823"/>
      <c r="HX14" s="823"/>
      <c r="HY14" s="823"/>
      <c r="HZ14" s="823"/>
      <c r="IA14" s="823"/>
      <c r="IB14" s="823"/>
      <c r="IC14" s="823"/>
      <c r="ID14" s="823"/>
      <c r="IE14" s="823"/>
      <c r="IF14" s="823"/>
      <c r="IG14" s="823"/>
      <c r="IH14" s="823"/>
      <c r="II14" s="823"/>
      <c r="IJ14" s="823"/>
      <c r="IK14" s="823"/>
      <c r="IL14" s="823"/>
      <c r="IM14" s="823"/>
      <c r="IN14" s="823"/>
      <c r="IO14" s="823"/>
      <c r="IP14" s="823"/>
      <c r="IQ14" s="823"/>
      <c r="IR14" s="823"/>
      <c r="IS14" s="823"/>
      <c r="IT14" s="823"/>
      <c r="IU14" s="823"/>
      <c r="IV14" s="823"/>
    </row>
    <row r="15" spans="1:256" ht="15" customHeight="1">
      <c r="A15" s="821"/>
      <c r="B15" s="821"/>
      <c r="C15" s="821"/>
      <c r="D15" s="821"/>
      <c r="E15" s="821"/>
      <c r="F15" s="821"/>
      <c r="G15" s="821"/>
      <c r="H15" s="821"/>
      <c r="I15" s="821"/>
      <c r="J15" s="821"/>
      <c r="K15" s="457" t="s">
        <v>1</v>
      </c>
      <c r="L15" s="370"/>
      <c r="M15" s="370"/>
      <c r="N15" s="370"/>
      <c r="O15" s="370"/>
      <c r="P15" s="370"/>
      <c r="Q15" s="370"/>
      <c r="R15" s="370"/>
      <c r="S15" s="370"/>
      <c r="T15" s="370"/>
      <c r="U15" s="821"/>
      <c r="V15" s="821"/>
      <c r="W15" s="821"/>
      <c r="X15" s="821"/>
      <c r="Y15" s="821"/>
      <c r="Z15" s="821"/>
      <c r="AA15" s="821"/>
      <c r="AB15" s="821"/>
      <c r="AC15" s="821"/>
      <c r="AD15" s="821"/>
      <c r="AE15" s="821"/>
      <c r="AF15" s="821"/>
      <c r="AG15" s="821"/>
      <c r="AH15" s="821"/>
      <c r="AI15" s="821"/>
      <c r="AJ15" s="821"/>
      <c r="AK15" s="821"/>
      <c r="AL15" s="821"/>
      <c r="AM15" s="821"/>
      <c r="AN15" s="821"/>
      <c r="AO15" s="821"/>
      <c r="AP15" s="821"/>
      <c r="AQ15" s="821"/>
      <c r="AR15" s="821"/>
      <c r="AS15" s="821"/>
      <c r="AT15" s="821"/>
      <c r="AU15" s="821"/>
      <c r="AV15" s="821"/>
      <c r="AW15" s="821"/>
      <c r="AX15" s="821"/>
      <c r="AY15" s="821"/>
      <c r="AZ15" s="821"/>
      <c r="BA15" s="821"/>
      <c r="BB15" s="821"/>
      <c r="BC15" s="821"/>
      <c r="BD15" s="821"/>
      <c r="BE15" s="821"/>
      <c r="BF15" s="821"/>
      <c r="BG15" s="821"/>
      <c r="BH15" s="821"/>
      <c r="BI15" s="821"/>
      <c r="BJ15" s="821"/>
      <c r="BK15" s="821"/>
      <c r="BL15" s="821"/>
      <c r="BM15" s="821"/>
      <c r="BN15" s="821"/>
      <c r="BO15" s="821"/>
      <c r="BP15" s="821"/>
      <c r="BQ15" s="821"/>
      <c r="BR15" s="821"/>
      <c r="BS15" s="821"/>
      <c r="BT15" s="821"/>
      <c r="BU15" s="821"/>
      <c r="BV15" s="821"/>
      <c r="BW15" s="821"/>
      <c r="BX15" s="821"/>
      <c r="BY15" s="821"/>
      <c r="BZ15" s="821"/>
      <c r="CA15" s="821"/>
      <c r="CB15" s="821"/>
      <c r="CC15" s="821"/>
      <c r="CD15" s="821"/>
      <c r="CE15" s="821"/>
      <c r="CF15" s="821"/>
      <c r="CG15" s="821"/>
      <c r="CH15" s="821"/>
      <c r="CI15" s="821"/>
      <c r="CJ15" s="821"/>
      <c r="CK15" s="821"/>
      <c r="CL15" s="821"/>
      <c r="CM15" s="821"/>
      <c r="CN15" s="821"/>
      <c r="CO15" s="821"/>
      <c r="CP15" s="821"/>
      <c r="CQ15" s="821"/>
      <c r="CR15" s="821"/>
      <c r="CS15" s="821"/>
      <c r="CT15" s="821"/>
      <c r="CU15" s="821"/>
      <c r="CV15" s="821"/>
      <c r="CW15" s="821"/>
      <c r="CX15" s="821"/>
      <c r="CY15" s="821"/>
      <c r="CZ15" s="821"/>
      <c r="DA15" s="821"/>
      <c r="DB15" s="821"/>
      <c r="DC15" s="821"/>
      <c r="DD15" s="821"/>
      <c r="DE15" s="821"/>
      <c r="DF15" s="821"/>
      <c r="DG15" s="821"/>
      <c r="DH15" s="821"/>
      <c r="DI15" s="821"/>
      <c r="DJ15" s="821"/>
      <c r="DK15" s="821"/>
      <c r="DL15" s="821"/>
      <c r="DM15" s="821"/>
      <c r="DN15" s="821"/>
      <c r="DO15" s="821"/>
      <c r="DP15" s="821"/>
      <c r="DQ15" s="821"/>
      <c r="DR15" s="821"/>
      <c r="DS15" s="821"/>
      <c r="DT15" s="821"/>
      <c r="DU15" s="821"/>
      <c r="DV15" s="821"/>
      <c r="DW15" s="821"/>
      <c r="DX15" s="821"/>
      <c r="DY15" s="821"/>
      <c r="DZ15" s="821"/>
      <c r="EA15" s="821"/>
      <c r="EB15" s="821"/>
      <c r="EC15" s="821"/>
      <c r="ED15" s="821"/>
      <c r="EE15" s="821"/>
      <c r="EF15" s="821"/>
      <c r="EG15" s="821"/>
      <c r="EH15" s="821"/>
      <c r="EI15" s="821"/>
      <c r="EJ15" s="821"/>
      <c r="EK15" s="821"/>
      <c r="EL15" s="821"/>
      <c r="EM15" s="821"/>
      <c r="EN15" s="821"/>
      <c r="EO15" s="821"/>
      <c r="EP15" s="821"/>
      <c r="EQ15" s="821"/>
      <c r="ER15" s="821"/>
      <c r="ES15" s="821"/>
      <c r="ET15" s="821"/>
      <c r="EU15" s="821"/>
      <c r="EV15" s="821"/>
      <c r="EW15" s="821"/>
      <c r="EX15" s="821"/>
      <c r="EY15" s="821"/>
      <c r="EZ15" s="821"/>
      <c r="FA15" s="821"/>
      <c r="FB15" s="821"/>
      <c r="FC15" s="821"/>
      <c r="FD15" s="821"/>
      <c r="FE15" s="821"/>
      <c r="FF15" s="821"/>
      <c r="FG15" s="821"/>
      <c r="FH15" s="821"/>
      <c r="FI15" s="821"/>
      <c r="FJ15" s="821"/>
      <c r="FK15" s="821"/>
      <c r="FL15" s="821"/>
      <c r="FM15" s="821"/>
      <c r="FN15" s="821"/>
      <c r="FO15" s="821"/>
      <c r="FP15" s="821"/>
      <c r="FQ15" s="821"/>
      <c r="FR15" s="821"/>
      <c r="FS15" s="821"/>
      <c r="FT15" s="821"/>
      <c r="FU15" s="821"/>
      <c r="FV15" s="821"/>
      <c r="FW15" s="821"/>
      <c r="FX15" s="821"/>
      <c r="FY15" s="821"/>
      <c r="FZ15" s="821"/>
      <c r="GA15" s="821"/>
      <c r="GB15" s="821"/>
      <c r="GC15" s="821"/>
      <c r="GD15" s="821"/>
      <c r="GE15" s="821"/>
      <c r="GF15" s="821"/>
      <c r="GG15" s="821"/>
      <c r="GH15" s="821"/>
      <c r="GI15" s="821"/>
      <c r="GJ15" s="821"/>
      <c r="GK15" s="821"/>
      <c r="GL15" s="821"/>
      <c r="GM15" s="821"/>
      <c r="GN15" s="821"/>
      <c r="GO15" s="821"/>
      <c r="GP15" s="821"/>
      <c r="GQ15" s="821"/>
      <c r="GR15" s="821"/>
      <c r="GS15" s="821"/>
      <c r="GT15" s="821"/>
      <c r="GU15" s="821"/>
      <c r="GV15" s="821"/>
      <c r="GW15" s="821"/>
      <c r="GX15" s="821"/>
      <c r="GY15" s="821"/>
      <c r="GZ15" s="821"/>
      <c r="HA15" s="821"/>
      <c r="HB15" s="821"/>
      <c r="HC15" s="821"/>
      <c r="HD15" s="821"/>
      <c r="HE15" s="821"/>
      <c r="HF15" s="821"/>
      <c r="HG15" s="821"/>
      <c r="HH15" s="821"/>
      <c r="HI15" s="821"/>
      <c r="HJ15" s="821"/>
      <c r="HK15" s="821"/>
      <c r="HL15" s="821"/>
      <c r="HM15" s="821"/>
      <c r="HN15" s="821"/>
      <c r="HO15" s="821"/>
      <c r="HP15" s="821"/>
      <c r="HQ15" s="821"/>
      <c r="HR15" s="821"/>
      <c r="HS15" s="821"/>
      <c r="HT15" s="821"/>
      <c r="HU15" s="821"/>
      <c r="HV15" s="821"/>
      <c r="HW15" s="821"/>
      <c r="HX15" s="821"/>
      <c r="HY15" s="821"/>
      <c r="HZ15" s="821"/>
      <c r="IA15" s="821"/>
      <c r="IB15" s="821"/>
      <c r="IC15" s="821"/>
      <c r="ID15" s="821"/>
      <c r="IE15" s="821"/>
      <c r="IF15" s="821"/>
      <c r="IG15" s="821"/>
      <c r="IH15" s="821"/>
      <c r="II15" s="821"/>
      <c r="IJ15" s="821"/>
      <c r="IK15" s="821"/>
      <c r="IL15" s="821"/>
      <c r="IM15" s="821"/>
      <c r="IN15" s="821"/>
      <c r="IO15" s="821"/>
      <c r="IP15" s="821"/>
      <c r="IQ15" s="821"/>
      <c r="IR15" s="821"/>
      <c r="IS15" s="821"/>
      <c r="IT15" s="821"/>
      <c r="IU15" s="821"/>
      <c r="IV15" s="821"/>
    </row>
    <row r="16" spans="1:256" s="139" customFormat="1" ht="15" customHeight="1">
      <c r="A16" s="826" t="s">
        <v>261</v>
      </c>
      <c r="B16" s="826"/>
      <c r="C16" s="826"/>
      <c r="D16" s="826"/>
      <c r="E16" s="826"/>
      <c r="F16" s="826"/>
      <c r="G16" s="826"/>
      <c r="H16" s="826"/>
      <c r="I16" s="826"/>
      <c r="J16" s="826"/>
      <c r="K16" s="457" t="s">
        <v>1</v>
      </c>
    </row>
    <row r="17" spans="1:11" s="139" customFormat="1" ht="15" customHeight="1">
      <c r="A17" s="458"/>
      <c r="B17" s="458"/>
      <c r="C17" s="458"/>
      <c r="D17" s="458"/>
      <c r="E17" s="458"/>
      <c r="F17" s="458"/>
      <c r="G17" s="458"/>
      <c r="H17" s="458"/>
      <c r="I17" s="458"/>
      <c r="J17" s="458"/>
      <c r="K17" s="457" t="s">
        <v>1</v>
      </c>
    </row>
    <row r="18" spans="1:11" s="139" customFormat="1" ht="69" customHeight="1">
      <c r="A18" s="822" t="s">
        <v>262</v>
      </c>
      <c r="B18" s="822"/>
      <c r="C18" s="822"/>
      <c r="D18" s="822"/>
      <c r="E18" s="822"/>
      <c r="F18" s="822"/>
      <c r="G18" s="822"/>
      <c r="H18" s="822"/>
      <c r="I18" s="822"/>
      <c r="J18" s="822"/>
      <c r="K18" s="457" t="s">
        <v>1</v>
      </c>
    </row>
    <row r="19" spans="1:11" ht="15" customHeight="1">
      <c r="A19" s="374"/>
      <c r="B19" s="374"/>
      <c r="C19" s="374"/>
      <c r="D19" s="374"/>
      <c r="E19" s="374"/>
      <c r="F19" s="374"/>
      <c r="G19" s="374"/>
      <c r="H19" s="374"/>
      <c r="I19" s="374"/>
      <c r="J19" s="374"/>
      <c r="K19" s="457" t="s">
        <v>1</v>
      </c>
    </row>
    <row r="20" spans="1:11" ht="15" customHeight="1">
      <c r="A20" s="824" t="s">
        <v>264</v>
      </c>
      <c r="B20" s="824"/>
      <c r="C20" s="824"/>
      <c r="D20" s="824"/>
      <c r="E20" s="824"/>
      <c r="F20" s="824"/>
      <c r="G20" s="824"/>
      <c r="H20" s="824"/>
      <c r="I20" s="824"/>
      <c r="J20" s="824"/>
      <c r="K20" s="185" t="s">
        <v>1</v>
      </c>
    </row>
    <row r="21" spans="1:11" ht="15" customHeight="1">
      <c r="A21" s="370"/>
      <c r="B21" s="370"/>
      <c r="C21" s="370"/>
      <c r="D21" s="370"/>
      <c r="E21" s="370"/>
      <c r="F21" s="370"/>
      <c r="G21" s="370"/>
      <c r="H21" s="370"/>
      <c r="I21" s="370"/>
      <c r="J21" s="370"/>
      <c r="K21" s="185" t="s">
        <v>1</v>
      </c>
    </row>
    <row r="22" spans="1:11" ht="32.25" customHeight="1">
      <c r="A22" s="825" t="s">
        <v>265</v>
      </c>
      <c r="B22" s="825"/>
      <c r="C22" s="825"/>
      <c r="D22" s="825"/>
      <c r="E22" s="825"/>
      <c r="F22" s="825"/>
      <c r="G22" s="825"/>
      <c r="H22" s="825"/>
      <c r="I22" s="825"/>
      <c r="J22" s="825"/>
      <c r="K22" s="185" t="s">
        <v>1</v>
      </c>
    </row>
    <row r="23" spans="1:11">
      <c r="A23" s="341"/>
      <c r="B23" s="341"/>
      <c r="C23" s="341"/>
      <c r="D23" s="341"/>
      <c r="E23" s="341"/>
      <c r="F23" s="341"/>
      <c r="G23" s="341"/>
      <c r="H23" s="341"/>
      <c r="I23" s="341"/>
      <c r="J23" s="341"/>
      <c r="K23" s="185" t="s">
        <v>41</v>
      </c>
    </row>
    <row r="24" spans="1:11">
      <c r="A24" s="336"/>
      <c r="B24" s="336"/>
      <c r="C24" s="336"/>
      <c r="D24" s="336"/>
      <c r="E24" s="336"/>
      <c r="F24" s="336"/>
      <c r="G24" s="336"/>
      <c r="H24" s="336"/>
      <c r="I24" s="336"/>
      <c r="J24" s="336"/>
    </row>
  </sheetData>
  <mergeCells count="84">
    <mergeCell ref="A4:J4"/>
    <mergeCell ref="A6:J6"/>
    <mergeCell ref="A7:J7"/>
    <mergeCell ref="A10:J10"/>
    <mergeCell ref="U13:AD13"/>
    <mergeCell ref="AE13:AN13"/>
    <mergeCell ref="AO13:AX13"/>
    <mergeCell ref="AY13:BH13"/>
    <mergeCell ref="A12:J12"/>
    <mergeCell ref="A16:J16"/>
    <mergeCell ref="A13:J13"/>
    <mergeCell ref="A20:J20"/>
    <mergeCell ref="A22:J22"/>
    <mergeCell ref="FO13:FX13"/>
    <mergeCell ref="BI13:BR13"/>
    <mergeCell ref="BS13:CB13"/>
    <mergeCell ref="CC13:CL13"/>
    <mergeCell ref="CM13:CV13"/>
    <mergeCell ref="CW13:DF13"/>
    <mergeCell ref="DG13:DP13"/>
    <mergeCell ref="DQ14:DZ14"/>
    <mergeCell ref="HW13:IF13"/>
    <mergeCell ref="DQ13:DZ13"/>
    <mergeCell ref="EA13:EJ13"/>
    <mergeCell ref="EK13:ET13"/>
    <mergeCell ref="EU13:FD13"/>
    <mergeCell ref="FE13:FN13"/>
    <mergeCell ref="GI13:GR13"/>
    <mergeCell ref="GS13:HB13"/>
    <mergeCell ref="HC13:HL13"/>
    <mergeCell ref="HM13:HV13"/>
    <mergeCell ref="IG13:IP13"/>
    <mergeCell ref="IQ13:IV13"/>
    <mergeCell ref="A14:J14"/>
    <mergeCell ref="U14:AD14"/>
    <mergeCell ref="AE14:AN14"/>
    <mergeCell ref="AO14:AX14"/>
    <mergeCell ref="AY14:BH14"/>
    <mergeCell ref="BI14:BR14"/>
    <mergeCell ref="BS14:CB14"/>
    <mergeCell ref="FY13:GH13"/>
    <mergeCell ref="HM14:HV14"/>
    <mergeCell ref="HW14:IF14"/>
    <mergeCell ref="EA14:EJ14"/>
    <mergeCell ref="EK14:ET14"/>
    <mergeCell ref="EU14:FD14"/>
    <mergeCell ref="CC14:CL14"/>
    <mergeCell ref="CM14:CV14"/>
    <mergeCell ref="CW14:DF14"/>
    <mergeCell ref="DG14:DP14"/>
    <mergeCell ref="FE14:FN14"/>
    <mergeCell ref="FO14:FX14"/>
    <mergeCell ref="FY14:GH14"/>
    <mergeCell ref="GI14:GR14"/>
    <mergeCell ref="GS14:HB14"/>
    <mergeCell ref="HC14:HL14"/>
    <mergeCell ref="IG14:IP14"/>
    <mergeCell ref="IQ14:IV14"/>
    <mergeCell ref="DG15:DP15"/>
    <mergeCell ref="A15:J15"/>
    <mergeCell ref="U15:AD15"/>
    <mergeCell ref="AE15:AN15"/>
    <mergeCell ref="AO15:AX15"/>
    <mergeCell ref="AY15:BH15"/>
    <mergeCell ref="EA15:EJ15"/>
    <mergeCell ref="EK15:ET15"/>
    <mergeCell ref="EU15:FD15"/>
    <mergeCell ref="FE15:FN15"/>
    <mergeCell ref="FO15:FX15"/>
    <mergeCell ref="BI15:BR15"/>
    <mergeCell ref="BS15:CB15"/>
    <mergeCell ref="CC15:CL15"/>
    <mergeCell ref="CM15:CV15"/>
    <mergeCell ref="CW15:DF15"/>
    <mergeCell ref="IG15:IP15"/>
    <mergeCell ref="IQ15:IV15"/>
    <mergeCell ref="A18:J18"/>
    <mergeCell ref="FY15:GH15"/>
    <mergeCell ref="GI15:GR15"/>
    <mergeCell ref="GS15:HB15"/>
    <mergeCell ref="HC15:HL15"/>
    <mergeCell ref="HM15:HV15"/>
    <mergeCell ref="HW15:IF15"/>
    <mergeCell ref="DQ15:DZ15"/>
  </mergeCells>
  <phoneticPr fontId="50" type="noConversion"/>
  <pageMargins left="0.75" right="0.75" top="1" bottom="1" header="0.5" footer="0.5"/>
  <pageSetup scale="78" orientation="landscape" r:id="rId1"/>
  <headerFooter alignWithMargins="0">
    <oddFooter>&amp;CExhibit M - Status of Congressionally Requested Studies, Reports, and Evaluations</oddFooter>
  </headerFooter>
</worksheet>
</file>

<file path=xl/worksheets/sheet2.xml><?xml version="1.0" encoding="utf-8"?>
<worksheet xmlns="http://schemas.openxmlformats.org/spreadsheetml/2006/main" xmlns:r="http://schemas.openxmlformats.org/officeDocument/2006/relationships">
  <sheetPr codeName="Sheet4"/>
  <dimension ref="A1:AC92"/>
  <sheetViews>
    <sheetView showGridLines="0" showOutlineSymbols="0" showWhiteSpace="0" view="pageBreakPreview" zoomScale="80" zoomScaleNormal="80" zoomScaleSheetLayoutView="80" zoomScalePageLayoutView="90" workbookViewId="0">
      <selection activeCell="A22" sqref="A22:Y22"/>
    </sheetView>
  </sheetViews>
  <sheetFormatPr defaultColWidth="9.6640625" defaultRowHeight="15.75"/>
  <cols>
    <col min="1" max="2" width="2.5546875" style="5" customWidth="1"/>
    <col min="3" max="3" width="25" style="5" customWidth="1"/>
    <col min="4" max="4" width="6.6640625" style="5" customWidth="1"/>
    <col min="5" max="5" width="1.6640625" style="5" customWidth="1"/>
    <col min="6" max="6" width="2" style="5" customWidth="1"/>
    <col min="7" max="7" width="1.77734375" style="5" customWidth="1"/>
    <col min="8" max="8" width="6.88671875" style="11" customWidth="1"/>
    <col min="9" max="9" width="6.21875" style="11" customWidth="1"/>
    <col min="10" max="10" width="10.21875" style="11" customWidth="1"/>
    <col min="11" max="11" width="5.6640625" style="11" customWidth="1"/>
    <col min="12" max="12" width="6.21875" style="11" customWidth="1"/>
    <col min="13" max="13" width="9.77734375" style="11" customWidth="1"/>
    <col min="14" max="15" width="5.6640625" style="11" customWidth="1"/>
    <col min="16" max="16" width="7.6640625" style="11" customWidth="1"/>
    <col min="17" max="17" width="5.6640625" style="11" customWidth="1"/>
    <col min="18" max="18" width="6.109375" style="11" customWidth="1"/>
    <col min="19" max="19" width="9.77734375" style="11" customWidth="1"/>
    <col min="20" max="21" width="5.6640625" style="11" customWidth="1"/>
    <col min="22" max="22" width="8.5546875" style="11" customWidth="1"/>
    <col min="23" max="23" width="6.109375" style="11" customWidth="1"/>
    <col min="24" max="24" width="5.6640625" style="11" customWidth="1"/>
    <col min="25" max="25" width="7" style="11" customWidth="1"/>
    <col min="26" max="26" width="9.5546875" style="11" customWidth="1"/>
    <col min="27" max="27" width="6.21875" style="11" customWidth="1"/>
    <col min="28" max="28" width="11.88671875" style="11" customWidth="1"/>
    <col min="29" max="29" width="2.5546875" style="199" customWidth="1"/>
    <col min="30" max="30" width="6.5546875" style="5" customWidth="1"/>
    <col min="31" max="31" width="7.6640625" style="5" customWidth="1"/>
    <col min="32" max="16384" width="9.6640625" style="5"/>
  </cols>
  <sheetData>
    <row r="1" spans="1:29" ht="20.25">
      <c r="A1" s="495" t="s">
        <v>53</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198" t="s">
        <v>1</v>
      </c>
    </row>
    <row r="2" spans="1:29">
      <c r="AC2" s="198" t="s">
        <v>1</v>
      </c>
    </row>
    <row r="3" spans="1:29">
      <c r="A3" s="6"/>
      <c r="B3" s="6"/>
      <c r="C3" s="6"/>
      <c r="D3" s="6"/>
      <c r="E3" s="6"/>
      <c r="F3" s="6"/>
      <c r="G3" s="6"/>
      <c r="H3" s="10"/>
      <c r="I3" s="10"/>
      <c r="J3" s="10"/>
      <c r="K3" s="10"/>
      <c r="L3" s="10"/>
      <c r="M3" s="10"/>
      <c r="N3" s="10"/>
      <c r="O3" s="10"/>
      <c r="P3" s="10"/>
      <c r="Q3" s="10"/>
      <c r="R3" s="10"/>
      <c r="S3" s="10"/>
      <c r="T3" s="10"/>
      <c r="U3" s="10"/>
      <c r="V3" s="10"/>
      <c r="W3" s="10"/>
      <c r="X3" s="10"/>
      <c r="Y3" s="10"/>
      <c r="Z3" s="10"/>
      <c r="AA3" s="10"/>
      <c r="AB3" s="10"/>
      <c r="AC3" s="198" t="s">
        <v>1</v>
      </c>
    </row>
    <row r="4" spans="1:29" ht="22.5">
      <c r="A4" s="499" t="s">
        <v>216</v>
      </c>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198" t="s">
        <v>1</v>
      </c>
    </row>
    <row r="5" spans="1:29" ht="23.25">
      <c r="A5" s="501" t="s">
        <v>235</v>
      </c>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198" t="s">
        <v>1</v>
      </c>
    </row>
    <row r="6" spans="1:29" ht="23.25">
      <c r="A6" s="501" t="s">
        <v>205</v>
      </c>
      <c r="B6" s="500"/>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198" t="s">
        <v>1</v>
      </c>
    </row>
    <row r="7" spans="1:29" ht="23.25">
      <c r="A7" s="501" t="s">
        <v>204</v>
      </c>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198" t="s">
        <v>1</v>
      </c>
    </row>
    <row r="8" spans="1:29" ht="23.25">
      <c r="A8" s="97"/>
      <c r="B8" s="7"/>
      <c r="C8" s="7"/>
      <c r="D8" s="7"/>
      <c r="E8" s="7"/>
      <c r="F8" s="7"/>
      <c r="G8" s="7"/>
      <c r="H8" s="13"/>
      <c r="I8" s="13"/>
      <c r="J8" s="13"/>
      <c r="K8" s="13"/>
      <c r="L8" s="13"/>
      <c r="M8" s="13"/>
      <c r="N8" s="13"/>
      <c r="O8" s="13"/>
      <c r="P8" s="13"/>
      <c r="Q8" s="13"/>
      <c r="R8" s="13"/>
      <c r="S8" s="13"/>
      <c r="T8" s="13"/>
      <c r="U8" s="13"/>
      <c r="V8" s="13"/>
      <c r="W8" s="13"/>
      <c r="X8" s="13"/>
      <c r="Y8" s="13"/>
      <c r="Z8" s="13"/>
      <c r="AA8" s="13"/>
      <c r="AB8" s="13"/>
      <c r="AC8" s="198" t="s">
        <v>1</v>
      </c>
    </row>
    <row r="9" spans="1:29" ht="23.25">
      <c r="A9" s="97"/>
      <c r="B9" s="7"/>
      <c r="C9" s="7"/>
      <c r="D9" s="7"/>
      <c r="E9" s="7"/>
      <c r="F9" s="7"/>
      <c r="G9" s="7"/>
      <c r="H9" s="13"/>
      <c r="I9" s="13"/>
      <c r="J9" s="13"/>
      <c r="K9" s="13"/>
      <c r="L9" s="13"/>
      <c r="M9" s="13"/>
      <c r="N9" s="13"/>
      <c r="O9" s="13"/>
      <c r="P9" s="13"/>
      <c r="Q9" s="13"/>
      <c r="R9" s="13"/>
      <c r="S9" s="13"/>
      <c r="T9" s="13"/>
      <c r="U9" s="13"/>
      <c r="V9" s="13"/>
      <c r="W9" s="13"/>
      <c r="X9" s="13"/>
      <c r="Y9" s="13"/>
      <c r="Z9" s="13"/>
      <c r="AA9" s="13"/>
      <c r="AB9" s="13"/>
      <c r="AC9" s="198" t="s">
        <v>1</v>
      </c>
    </row>
    <row r="10" spans="1:29" ht="23.25">
      <c r="A10" s="97"/>
      <c r="B10" s="7"/>
      <c r="C10" s="7"/>
      <c r="D10" s="7"/>
      <c r="E10" s="7"/>
      <c r="F10" s="7"/>
      <c r="G10" s="7"/>
      <c r="H10" s="13"/>
      <c r="I10" s="13"/>
      <c r="J10" s="13"/>
      <c r="K10" s="13"/>
      <c r="L10" s="13"/>
      <c r="M10" s="13"/>
      <c r="N10" s="13"/>
      <c r="O10" s="13"/>
      <c r="P10" s="13"/>
      <c r="Q10" s="13"/>
      <c r="R10" s="13"/>
      <c r="S10" s="13"/>
      <c r="T10" s="13"/>
      <c r="U10" s="13"/>
      <c r="V10" s="13"/>
      <c r="W10" s="13"/>
      <c r="X10" s="13"/>
      <c r="Y10" s="13"/>
      <c r="Z10" s="13"/>
      <c r="AA10" s="13"/>
      <c r="AB10" s="13"/>
      <c r="AC10" s="198" t="s">
        <v>1</v>
      </c>
    </row>
    <row r="11" spans="1:29">
      <c r="A11" s="71"/>
      <c r="B11" s="7"/>
      <c r="C11" s="7"/>
      <c r="D11" s="7"/>
      <c r="E11" s="7"/>
      <c r="F11" s="7"/>
      <c r="G11" s="7"/>
      <c r="H11" s="13"/>
      <c r="I11" s="13"/>
      <c r="J11" s="13"/>
      <c r="K11" s="13"/>
      <c r="L11" s="13"/>
      <c r="M11" s="13"/>
      <c r="N11" s="13"/>
      <c r="O11" s="13"/>
      <c r="P11" s="13"/>
      <c r="Q11" s="13"/>
      <c r="R11" s="13"/>
      <c r="S11" s="13"/>
      <c r="T11" s="13"/>
      <c r="U11" s="13"/>
      <c r="V11" s="13"/>
      <c r="W11" s="13"/>
      <c r="X11" s="13"/>
      <c r="Y11" s="13"/>
      <c r="Z11" s="505" t="s">
        <v>151</v>
      </c>
      <c r="AA11" s="506"/>
      <c r="AB11" s="507"/>
      <c r="AC11" s="198" t="s">
        <v>1</v>
      </c>
    </row>
    <row r="12" spans="1:29">
      <c r="A12" s="9"/>
      <c r="B12" s="9"/>
      <c r="C12" s="9"/>
      <c r="D12" s="9"/>
      <c r="E12" s="9"/>
      <c r="F12" s="9"/>
      <c r="G12" s="9"/>
      <c r="H12" s="159"/>
      <c r="I12" s="159"/>
      <c r="J12" s="159"/>
      <c r="K12" s="159"/>
      <c r="L12" s="159"/>
      <c r="M12" s="159"/>
      <c r="N12" s="159"/>
      <c r="O12" s="159"/>
      <c r="P12" s="159"/>
      <c r="Q12" s="159"/>
      <c r="R12" s="159"/>
      <c r="S12" s="159"/>
      <c r="T12" s="159"/>
      <c r="U12" s="159"/>
      <c r="V12" s="159"/>
      <c r="W12" s="159"/>
      <c r="X12" s="159"/>
      <c r="Y12" s="159"/>
      <c r="Z12" s="513" t="s">
        <v>37</v>
      </c>
      <c r="AA12" s="512" t="s">
        <v>85</v>
      </c>
      <c r="AB12" s="510" t="s">
        <v>227</v>
      </c>
      <c r="AC12" s="198" t="s">
        <v>1</v>
      </c>
    </row>
    <row r="13" spans="1:29" ht="16.5" thickBot="1">
      <c r="A13" s="165"/>
      <c r="B13" s="94"/>
      <c r="C13" s="94"/>
      <c r="D13" s="94"/>
      <c r="E13" s="94"/>
      <c r="F13" s="94"/>
      <c r="G13" s="94"/>
      <c r="H13" s="95"/>
      <c r="I13" s="95"/>
      <c r="J13" s="95"/>
      <c r="K13" s="95"/>
      <c r="L13" s="95"/>
      <c r="M13" s="95"/>
      <c r="N13" s="95"/>
      <c r="O13" s="95"/>
      <c r="P13" s="95"/>
      <c r="Q13" s="95"/>
      <c r="R13" s="95"/>
      <c r="S13" s="95"/>
      <c r="T13" s="95"/>
      <c r="U13" s="95"/>
      <c r="V13" s="95"/>
      <c r="W13" s="95"/>
      <c r="X13" s="95"/>
      <c r="Y13" s="95"/>
      <c r="Z13" s="514"/>
      <c r="AA13" s="511"/>
      <c r="AB13" s="511"/>
      <c r="AC13" s="198" t="s">
        <v>1</v>
      </c>
    </row>
    <row r="14" spans="1:29">
      <c r="A14" s="497" t="s">
        <v>182</v>
      </c>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204">
        <v>5008</v>
      </c>
      <c r="AA14" s="204">
        <v>4957</v>
      </c>
      <c r="AB14" s="204">
        <v>1054215</v>
      </c>
      <c r="AC14" s="198" t="s">
        <v>1</v>
      </c>
    </row>
    <row r="15" spans="1:29" ht="20.25" customHeight="1">
      <c r="A15" s="508" t="s">
        <v>5</v>
      </c>
      <c r="B15" s="509"/>
      <c r="C15" s="509"/>
      <c r="D15" s="509"/>
      <c r="E15" s="509"/>
      <c r="F15" s="509"/>
      <c r="G15" s="509"/>
      <c r="H15" s="509"/>
      <c r="I15" s="509"/>
      <c r="J15" s="509"/>
      <c r="K15" s="509"/>
      <c r="L15" s="509"/>
      <c r="M15" s="509"/>
      <c r="N15" s="509"/>
      <c r="O15" s="509"/>
      <c r="P15" s="509"/>
      <c r="Q15" s="509"/>
      <c r="R15" s="509"/>
      <c r="S15" s="509"/>
      <c r="T15" s="509"/>
      <c r="U15" s="509"/>
      <c r="V15" s="509"/>
      <c r="W15" s="509"/>
      <c r="X15" s="509"/>
      <c r="Y15" s="509"/>
      <c r="Z15" s="205"/>
      <c r="AA15" s="205"/>
      <c r="AB15" s="206">
        <f>14000+10000</f>
        <v>24000</v>
      </c>
      <c r="AC15" s="198" t="s">
        <v>1</v>
      </c>
    </row>
    <row r="16" spans="1:29">
      <c r="A16" s="503" t="s">
        <v>183</v>
      </c>
      <c r="B16" s="504"/>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207">
        <f>+Z15+Z14</f>
        <v>5008</v>
      </c>
      <c r="AA16" s="207">
        <f>+AA15+AA14</f>
        <v>4957</v>
      </c>
      <c r="AB16" s="207">
        <f>+AB15+AB14</f>
        <v>1078215</v>
      </c>
      <c r="AC16" s="198" t="s">
        <v>1</v>
      </c>
    </row>
    <row r="17" spans="1:29">
      <c r="A17" s="497" t="s">
        <v>152</v>
      </c>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375">
        <v>5101</v>
      </c>
      <c r="AA17" s="375">
        <v>5025</v>
      </c>
      <c r="AB17" s="208">
        <f>1114772</f>
        <v>1114772</v>
      </c>
      <c r="AC17" s="198" t="s">
        <v>1</v>
      </c>
    </row>
    <row r="18" spans="1:29" ht="18.75" customHeight="1">
      <c r="A18" s="515" t="s">
        <v>184</v>
      </c>
      <c r="B18" s="516"/>
      <c r="C18" s="516"/>
      <c r="D18" s="516"/>
      <c r="E18" s="516"/>
      <c r="F18" s="516"/>
      <c r="G18" s="516"/>
      <c r="H18" s="516"/>
      <c r="I18" s="516"/>
      <c r="J18" s="516"/>
      <c r="K18" s="516"/>
      <c r="L18" s="516"/>
      <c r="M18" s="516"/>
      <c r="N18" s="516"/>
      <c r="O18" s="516"/>
      <c r="P18" s="516"/>
      <c r="Q18" s="516"/>
      <c r="R18" s="516"/>
      <c r="S18" s="516"/>
      <c r="T18" s="516"/>
      <c r="U18" s="516"/>
      <c r="V18" s="516"/>
      <c r="W18" s="516"/>
      <c r="X18" s="516"/>
      <c r="Y18" s="516"/>
      <c r="Z18" s="209"/>
      <c r="AA18" s="209"/>
      <c r="AB18" s="210"/>
      <c r="AC18" s="198" t="s">
        <v>1</v>
      </c>
    </row>
    <row r="19" spans="1:29">
      <c r="A19" s="517" t="s">
        <v>153</v>
      </c>
      <c r="B19" s="518"/>
      <c r="C19" s="518"/>
      <c r="D19" s="518"/>
      <c r="E19" s="518"/>
      <c r="F19" s="518"/>
      <c r="G19" s="518"/>
      <c r="H19" s="518"/>
      <c r="I19" s="518"/>
      <c r="J19" s="518"/>
      <c r="K19" s="518"/>
      <c r="L19" s="518"/>
      <c r="M19" s="518"/>
      <c r="N19" s="518"/>
      <c r="O19" s="518"/>
      <c r="P19" s="518"/>
      <c r="Q19" s="518"/>
      <c r="R19" s="518"/>
      <c r="S19" s="518"/>
      <c r="T19" s="518"/>
      <c r="U19" s="518"/>
      <c r="V19" s="518"/>
      <c r="W19" s="518"/>
      <c r="X19" s="518"/>
      <c r="Y19" s="518"/>
      <c r="Z19" s="211">
        <f>+Z18+Z17</f>
        <v>5101</v>
      </c>
      <c r="AA19" s="211">
        <f>+AA18+AA17</f>
        <v>5025</v>
      </c>
      <c r="AB19" s="211">
        <f>+AB18+AB17</f>
        <v>1114772</v>
      </c>
      <c r="AC19" s="198" t="s">
        <v>1</v>
      </c>
    </row>
    <row r="20" spans="1:29">
      <c r="A20" s="536" t="s">
        <v>23</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205"/>
      <c r="AA20" s="205"/>
      <c r="AB20" s="206"/>
      <c r="AC20" s="198" t="s">
        <v>1</v>
      </c>
    </row>
    <row r="21" spans="1:29">
      <c r="A21" s="538" t="s">
        <v>78</v>
      </c>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205"/>
      <c r="AA21" s="205"/>
      <c r="AB21" s="206"/>
      <c r="AC21" s="198" t="s">
        <v>1</v>
      </c>
    </row>
    <row r="22" spans="1:29">
      <c r="A22" s="523" t="s">
        <v>9</v>
      </c>
      <c r="B22" s="540"/>
      <c r="C22" s="540"/>
      <c r="D22" s="540"/>
      <c r="E22" s="540"/>
      <c r="F22" s="540"/>
      <c r="G22" s="540"/>
      <c r="H22" s="540"/>
      <c r="I22" s="540"/>
      <c r="J22" s="540"/>
      <c r="K22" s="540"/>
      <c r="L22" s="540"/>
      <c r="M22" s="540"/>
      <c r="N22" s="540"/>
      <c r="O22" s="540"/>
      <c r="P22" s="540"/>
      <c r="Q22" s="540"/>
      <c r="R22" s="540"/>
      <c r="S22" s="540"/>
      <c r="T22" s="540"/>
      <c r="U22" s="540"/>
      <c r="V22" s="540"/>
      <c r="W22" s="540"/>
      <c r="X22" s="540"/>
      <c r="Y22" s="540"/>
      <c r="Z22" s="205"/>
      <c r="AA22" s="205"/>
      <c r="AB22" s="206">
        <v>7245</v>
      </c>
      <c r="AC22" s="198" t="s">
        <v>1</v>
      </c>
    </row>
    <row r="23" spans="1:29">
      <c r="A23" s="519" t="s">
        <v>10</v>
      </c>
      <c r="B23" s="520"/>
      <c r="C23" s="520"/>
      <c r="D23" s="520"/>
      <c r="E23" s="520"/>
      <c r="F23" s="520"/>
      <c r="G23" s="520"/>
      <c r="H23" s="520"/>
      <c r="I23" s="520"/>
      <c r="J23" s="520"/>
      <c r="K23" s="520"/>
      <c r="L23" s="520"/>
      <c r="M23" s="520"/>
      <c r="N23" s="520"/>
      <c r="O23" s="520"/>
      <c r="P23" s="520"/>
      <c r="Q23" s="520"/>
      <c r="R23" s="520"/>
      <c r="S23" s="520"/>
      <c r="T23" s="520"/>
      <c r="U23" s="520"/>
      <c r="V23" s="520"/>
      <c r="W23" s="520"/>
      <c r="X23" s="520"/>
      <c r="Y23" s="520"/>
      <c r="Z23" s="205"/>
      <c r="AA23" s="205"/>
      <c r="AB23" s="206">
        <v>3346</v>
      </c>
      <c r="AC23" s="198" t="s">
        <v>1</v>
      </c>
    </row>
    <row r="24" spans="1:29">
      <c r="A24" s="491" t="s">
        <v>266</v>
      </c>
      <c r="B24" s="492"/>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205"/>
      <c r="AA24" s="205"/>
      <c r="AB24" s="206">
        <v>3449</v>
      </c>
      <c r="AC24" s="198" t="s">
        <v>1</v>
      </c>
    </row>
    <row r="25" spans="1:29">
      <c r="A25" s="491" t="s">
        <v>185</v>
      </c>
      <c r="B25" s="492"/>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205"/>
      <c r="AA25" s="205">
        <v>46</v>
      </c>
      <c r="AB25" s="206"/>
      <c r="AC25" s="198" t="s">
        <v>1</v>
      </c>
    </row>
    <row r="26" spans="1:29">
      <c r="A26" s="491" t="s">
        <v>186</v>
      </c>
      <c r="B26" s="492"/>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205"/>
      <c r="AA26" s="205"/>
      <c r="AB26" s="206">
        <f>8042</f>
        <v>8042</v>
      </c>
      <c r="AC26" s="198" t="s">
        <v>1</v>
      </c>
    </row>
    <row r="27" spans="1:29">
      <c r="A27" s="491" t="s">
        <v>187</v>
      </c>
      <c r="B27" s="492"/>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205"/>
      <c r="AA27" s="205"/>
      <c r="AB27" s="206">
        <f>2909+243+533</f>
        <v>3685</v>
      </c>
      <c r="AC27" s="198" t="s">
        <v>1</v>
      </c>
    </row>
    <row r="28" spans="1:29">
      <c r="A28" s="491" t="s">
        <v>236</v>
      </c>
      <c r="B28" s="492"/>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205"/>
      <c r="AA28" s="205"/>
      <c r="AB28" s="206">
        <v>670</v>
      </c>
      <c r="AC28" s="198" t="s">
        <v>1</v>
      </c>
    </row>
    <row r="29" spans="1:29">
      <c r="A29" s="491" t="s">
        <v>238</v>
      </c>
      <c r="B29" s="492"/>
      <c r="C29" s="492"/>
      <c r="D29" s="492"/>
      <c r="E29" s="492"/>
      <c r="F29" s="492"/>
      <c r="G29" s="492"/>
      <c r="H29" s="492"/>
      <c r="I29" s="492"/>
      <c r="J29" s="492"/>
      <c r="K29" s="492"/>
      <c r="L29" s="492"/>
      <c r="M29" s="492"/>
      <c r="N29" s="492"/>
      <c r="O29" s="492"/>
      <c r="P29" s="492"/>
      <c r="Q29" s="492"/>
      <c r="R29" s="492"/>
      <c r="S29" s="492"/>
      <c r="T29" s="492"/>
      <c r="U29" s="492"/>
      <c r="V29" s="492"/>
      <c r="W29" s="492"/>
      <c r="X29" s="492"/>
      <c r="Y29" s="492"/>
      <c r="Z29" s="205"/>
      <c r="AA29" s="205"/>
      <c r="AB29" s="206">
        <v>334</v>
      </c>
      <c r="AC29" s="198" t="s">
        <v>1</v>
      </c>
    </row>
    <row r="30" spans="1:29">
      <c r="A30" s="491" t="s">
        <v>237</v>
      </c>
      <c r="B30" s="492"/>
      <c r="C30" s="492"/>
      <c r="D30" s="492"/>
      <c r="E30" s="492"/>
      <c r="F30" s="492"/>
      <c r="G30" s="492"/>
      <c r="H30" s="492"/>
      <c r="I30" s="492"/>
      <c r="J30" s="492"/>
      <c r="K30" s="492"/>
      <c r="L30" s="492"/>
      <c r="M30" s="492"/>
      <c r="N30" s="492"/>
      <c r="O30" s="492"/>
      <c r="P30" s="492"/>
      <c r="Q30" s="492"/>
      <c r="R30" s="492"/>
      <c r="S30" s="492"/>
      <c r="T30" s="492"/>
      <c r="U30" s="492"/>
      <c r="V30" s="492"/>
      <c r="W30" s="492"/>
      <c r="X30" s="492"/>
      <c r="Y30" s="492"/>
      <c r="Z30" s="205"/>
      <c r="AA30" s="205"/>
      <c r="AB30" s="206">
        <v>2622</v>
      </c>
      <c r="AC30" s="198" t="s">
        <v>1</v>
      </c>
    </row>
    <row r="31" spans="1:29">
      <c r="A31" s="491" t="s">
        <v>239</v>
      </c>
      <c r="B31" s="492"/>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205"/>
      <c r="AA31" s="205"/>
      <c r="AB31" s="206">
        <v>4591</v>
      </c>
      <c r="AC31" s="198" t="s">
        <v>1</v>
      </c>
    </row>
    <row r="32" spans="1:29">
      <c r="A32" s="491" t="s">
        <v>241</v>
      </c>
      <c r="B32" s="492"/>
      <c r="C32" s="492"/>
      <c r="D32" s="492"/>
      <c r="E32" s="492"/>
      <c r="F32" s="492"/>
      <c r="G32" s="492"/>
      <c r="H32" s="492"/>
      <c r="I32" s="492"/>
      <c r="J32" s="492"/>
      <c r="K32" s="492"/>
      <c r="L32" s="492"/>
      <c r="M32" s="492"/>
      <c r="N32" s="492"/>
      <c r="O32" s="492"/>
      <c r="P32" s="492"/>
      <c r="Q32" s="492"/>
      <c r="R32" s="492"/>
      <c r="S32" s="492"/>
      <c r="T32" s="492"/>
      <c r="U32" s="492"/>
      <c r="V32" s="492"/>
      <c r="W32" s="492"/>
      <c r="X32" s="492"/>
      <c r="Y32" s="492"/>
      <c r="Z32" s="205"/>
      <c r="AA32" s="205"/>
      <c r="AB32" s="206">
        <v>245</v>
      </c>
      <c r="AC32" s="198" t="s">
        <v>1</v>
      </c>
    </row>
    <row r="33" spans="1:29">
      <c r="A33" s="491" t="s">
        <v>240</v>
      </c>
      <c r="B33" s="492"/>
      <c r="C33" s="492"/>
      <c r="D33" s="492"/>
      <c r="E33" s="492"/>
      <c r="F33" s="492"/>
      <c r="G33" s="492"/>
      <c r="H33" s="492"/>
      <c r="I33" s="492"/>
      <c r="J33" s="492"/>
      <c r="K33" s="492"/>
      <c r="L33" s="492"/>
      <c r="M33" s="492"/>
      <c r="N33" s="492"/>
      <c r="O33" s="492"/>
      <c r="P33" s="492"/>
      <c r="Q33" s="492"/>
      <c r="R33" s="492"/>
      <c r="S33" s="492"/>
      <c r="T33" s="492"/>
      <c r="U33" s="492"/>
      <c r="V33" s="492"/>
      <c r="W33" s="492"/>
      <c r="X33" s="492"/>
      <c r="Y33" s="492"/>
      <c r="Z33" s="205"/>
      <c r="AA33" s="205"/>
      <c r="AB33" s="206">
        <v>4426</v>
      </c>
      <c r="AC33" s="198" t="s">
        <v>1</v>
      </c>
    </row>
    <row r="34" spans="1:29">
      <c r="A34" s="491" t="s">
        <v>267</v>
      </c>
      <c r="B34" s="492"/>
      <c r="C34" s="492"/>
      <c r="D34" s="492"/>
      <c r="E34" s="492"/>
      <c r="F34" s="492"/>
      <c r="G34" s="492"/>
      <c r="H34" s="492"/>
      <c r="I34" s="492"/>
      <c r="J34" s="492"/>
      <c r="K34" s="492"/>
      <c r="L34" s="492"/>
      <c r="M34" s="492"/>
      <c r="N34" s="492"/>
      <c r="O34" s="492"/>
      <c r="P34" s="492"/>
      <c r="Q34" s="492"/>
      <c r="R34" s="492"/>
      <c r="S34" s="492"/>
      <c r="T34" s="492"/>
      <c r="U34" s="492"/>
      <c r="V34" s="492"/>
      <c r="W34" s="492"/>
      <c r="X34" s="492"/>
      <c r="Y34" s="492"/>
      <c r="Z34" s="205"/>
      <c r="AA34" s="205"/>
      <c r="AB34" s="206">
        <v>2473</v>
      </c>
      <c r="AC34" s="198" t="s">
        <v>1</v>
      </c>
    </row>
    <row r="35" spans="1:29">
      <c r="A35" s="491" t="s">
        <v>268</v>
      </c>
      <c r="B35" s="492"/>
      <c r="C35" s="492"/>
      <c r="D35" s="492"/>
      <c r="E35" s="492"/>
      <c r="F35" s="492"/>
      <c r="G35" s="492"/>
      <c r="H35" s="492"/>
      <c r="I35" s="492"/>
      <c r="J35" s="492"/>
      <c r="K35" s="492"/>
      <c r="L35" s="492"/>
      <c r="M35" s="492"/>
      <c r="N35" s="492"/>
      <c r="O35" s="492"/>
      <c r="P35" s="492"/>
      <c r="Q35" s="492"/>
      <c r="R35" s="492"/>
      <c r="S35" s="492"/>
      <c r="T35" s="492"/>
      <c r="U35" s="492"/>
      <c r="V35" s="492"/>
      <c r="W35" s="492"/>
      <c r="X35" s="492"/>
      <c r="Y35" s="492"/>
      <c r="Z35" s="205"/>
      <c r="AA35" s="205"/>
      <c r="AB35" s="206">
        <v>7</v>
      </c>
      <c r="AC35" s="198" t="s">
        <v>1</v>
      </c>
    </row>
    <row r="36" spans="1:29">
      <c r="A36" s="491" t="s">
        <v>243</v>
      </c>
      <c r="B36" s="492"/>
      <c r="C36" s="492"/>
      <c r="D36" s="492"/>
      <c r="E36" s="492"/>
      <c r="F36" s="492"/>
      <c r="G36" s="492"/>
      <c r="H36" s="492"/>
      <c r="I36" s="492"/>
      <c r="J36" s="492"/>
      <c r="K36" s="492"/>
      <c r="L36" s="492"/>
      <c r="M36" s="492"/>
      <c r="N36" s="492"/>
      <c r="O36" s="492"/>
      <c r="P36" s="492"/>
      <c r="Q36" s="492"/>
      <c r="R36" s="492"/>
      <c r="S36" s="492"/>
      <c r="T36" s="492"/>
      <c r="U36" s="492"/>
      <c r="V36" s="492"/>
      <c r="W36" s="492"/>
      <c r="X36" s="492"/>
      <c r="Y36" s="492"/>
      <c r="Z36" s="205"/>
      <c r="AA36" s="205"/>
      <c r="AB36" s="206">
        <v>226</v>
      </c>
      <c r="AC36" s="198" t="s">
        <v>1</v>
      </c>
    </row>
    <row r="37" spans="1:29">
      <c r="A37" s="491" t="s">
        <v>269</v>
      </c>
      <c r="B37" s="492"/>
      <c r="C37" s="492"/>
      <c r="D37" s="492"/>
      <c r="E37" s="492"/>
      <c r="F37" s="492"/>
      <c r="G37" s="492"/>
      <c r="H37" s="492"/>
      <c r="I37" s="492"/>
      <c r="J37" s="492"/>
      <c r="K37" s="492"/>
      <c r="L37" s="492"/>
      <c r="M37" s="492"/>
      <c r="N37" s="492"/>
      <c r="O37" s="492"/>
      <c r="P37" s="492"/>
      <c r="Q37" s="492"/>
      <c r="R37" s="492"/>
      <c r="S37" s="492"/>
      <c r="T37" s="492"/>
      <c r="U37" s="492"/>
      <c r="V37" s="492"/>
      <c r="W37" s="492"/>
      <c r="X37" s="492"/>
      <c r="Y37" s="492"/>
      <c r="Z37" s="205"/>
      <c r="AA37" s="205"/>
      <c r="AB37" s="206">
        <v>114</v>
      </c>
      <c r="AC37" s="198" t="s">
        <v>1</v>
      </c>
    </row>
    <row r="38" spans="1:29">
      <c r="A38" s="491" t="s">
        <v>270</v>
      </c>
      <c r="B38" s="492"/>
      <c r="C38" s="492"/>
      <c r="D38" s="492"/>
      <c r="E38" s="492"/>
      <c r="F38" s="492"/>
      <c r="G38" s="492"/>
      <c r="H38" s="492"/>
      <c r="I38" s="492"/>
      <c r="J38" s="492"/>
      <c r="K38" s="492"/>
      <c r="L38" s="492"/>
      <c r="M38" s="492"/>
      <c r="N38" s="492"/>
      <c r="O38" s="492"/>
      <c r="P38" s="492"/>
      <c r="Q38" s="492"/>
      <c r="R38" s="492"/>
      <c r="S38" s="492"/>
      <c r="T38" s="492"/>
      <c r="U38" s="492"/>
      <c r="V38" s="492"/>
      <c r="W38" s="492"/>
      <c r="X38" s="492"/>
      <c r="Y38" s="492"/>
      <c r="Z38" s="205"/>
      <c r="AA38" s="205"/>
      <c r="AB38" s="206">
        <v>164</v>
      </c>
      <c r="AC38" s="198" t="s">
        <v>1</v>
      </c>
    </row>
    <row r="39" spans="1:29">
      <c r="A39" s="491" t="s">
        <v>271</v>
      </c>
      <c r="B39" s="492"/>
      <c r="C39" s="492"/>
      <c r="D39" s="492"/>
      <c r="E39" s="492"/>
      <c r="F39" s="492"/>
      <c r="G39" s="492"/>
      <c r="H39" s="492"/>
      <c r="I39" s="492"/>
      <c r="J39" s="492"/>
      <c r="K39" s="492"/>
      <c r="L39" s="492"/>
      <c r="M39" s="492"/>
      <c r="N39" s="492"/>
      <c r="O39" s="492"/>
      <c r="P39" s="492"/>
      <c r="Q39" s="492"/>
      <c r="R39" s="492"/>
      <c r="S39" s="492"/>
      <c r="T39" s="492"/>
      <c r="U39" s="492"/>
      <c r="V39" s="492"/>
      <c r="W39" s="492"/>
      <c r="X39" s="492"/>
      <c r="Y39" s="492"/>
      <c r="Z39" s="205"/>
      <c r="AA39" s="205"/>
      <c r="AB39" s="206">
        <v>106</v>
      </c>
      <c r="AC39" s="198" t="s">
        <v>1</v>
      </c>
    </row>
    <row r="40" spans="1:29">
      <c r="A40" s="491" t="s">
        <v>272</v>
      </c>
      <c r="B40" s="492"/>
      <c r="C40" s="492"/>
      <c r="D40" s="492"/>
      <c r="E40" s="492"/>
      <c r="F40" s="492"/>
      <c r="G40" s="492"/>
      <c r="H40" s="492"/>
      <c r="I40" s="492"/>
      <c r="J40" s="492"/>
      <c r="K40" s="492"/>
      <c r="L40" s="492"/>
      <c r="M40" s="492"/>
      <c r="N40" s="492"/>
      <c r="O40" s="492"/>
      <c r="P40" s="492"/>
      <c r="Q40" s="492"/>
      <c r="R40" s="492"/>
      <c r="S40" s="492"/>
      <c r="T40" s="492"/>
      <c r="U40" s="492"/>
      <c r="V40" s="492"/>
      <c r="W40" s="492"/>
      <c r="X40" s="492"/>
      <c r="Y40" s="492"/>
      <c r="Z40" s="205"/>
      <c r="AA40" s="205"/>
      <c r="AB40" s="206">
        <v>51</v>
      </c>
      <c r="AC40" s="198" t="s">
        <v>1</v>
      </c>
    </row>
    <row r="41" spans="1:29">
      <c r="A41" s="491" t="s">
        <v>242</v>
      </c>
      <c r="B41" s="492"/>
      <c r="C41" s="492"/>
      <c r="D41" s="492"/>
      <c r="E41" s="492"/>
      <c r="F41" s="492"/>
      <c r="G41" s="492"/>
      <c r="H41" s="492"/>
      <c r="I41" s="492"/>
      <c r="J41" s="492"/>
      <c r="K41" s="492"/>
      <c r="L41" s="492"/>
      <c r="M41" s="492"/>
      <c r="N41" s="492"/>
      <c r="O41" s="492"/>
      <c r="P41" s="492"/>
      <c r="Q41" s="492"/>
      <c r="R41" s="492"/>
      <c r="S41" s="492"/>
      <c r="T41" s="492"/>
      <c r="U41" s="492"/>
      <c r="V41" s="492"/>
      <c r="W41" s="492"/>
      <c r="X41" s="492"/>
      <c r="Y41" s="492"/>
      <c r="Z41" s="205"/>
      <c r="AA41" s="205"/>
      <c r="AB41" s="206">
        <v>60</v>
      </c>
      <c r="AC41" s="198" t="s">
        <v>1</v>
      </c>
    </row>
    <row r="42" spans="1:29">
      <c r="A42" s="491" t="s">
        <v>220</v>
      </c>
      <c r="B42" s="492"/>
      <c r="C42" s="492"/>
      <c r="D42" s="492"/>
      <c r="E42" s="492"/>
      <c r="F42" s="492"/>
      <c r="G42" s="492"/>
      <c r="H42" s="492"/>
      <c r="I42" s="492"/>
      <c r="J42" s="492"/>
      <c r="K42" s="492"/>
      <c r="L42" s="492"/>
      <c r="M42" s="492"/>
      <c r="N42" s="492"/>
      <c r="O42" s="492"/>
      <c r="P42" s="492"/>
      <c r="Q42" s="492"/>
      <c r="R42" s="492"/>
      <c r="S42" s="492"/>
      <c r="T42" s="492"/>
      <c r="U42" s="492"/>
      <c r="V42" s="492"/>
      <c r="W42" s="492"/>
      <c r="X42" s="492"/>
      <c r="Y42" s="492"/>
      <c r="Z42" s="205">
        <f>SUM(Z22:Z41)</f>
        <v>0</v>
      </c>
      <c r="AA42" s="205">
        <f>SUM(AA22:AA41)</f>
        <v>46</v>
      </c>
      <c r="AB42" s="205">
        <f>SUM(AB22:AB41)</f>
        <v>41856</v>
      </c>
      <c r="AC42" s="198" t="s">
        <v>1</v>
      </c>
    </row>
    <row r="43" spans="1:29">
      <c r="A43" s="538" t="s">
        <v>79</v>
      </c>
      <c r="B43" s="539"/>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205"/>
      <c r="AA43" s="205"/>
      <c r="AB43" s="206"/>
      <c r="AC43" s="198" t="s">
        <v>1</v>
      </c>
    </row>
    <row r="44" spans="1:29">
      <c r="A44" s="523" t="s">
        <v>273</v>
      </c>
      <c r="B44" s="492"/>
      <c r="C44" s="492"/>
      <c r="D44" s="492"/>
      <c r="E44" s="492"/>
      <c r="F44" s="492"/>
      <c r="G44" s="492"/>
      <c r="H44" s="492"/>
      <c r="I44" s="492"/>
      <c r="J44" s="492"/>
      <c r="K44" s="492"/>
      <c r="L44" s="492"/>
      <c r="M44" s="492"/>
      <c r="N44" s="492"/>
      <c r="O44" s="492"/>
      <c r="P44" s="492"/>
      <c r="Q44" s="492"/>
      <c r="R44" s="492"/>
      <c r="S44" s="492"/>
      <c r="T44" s="492"/>
      <c r="U44" s="492"/>
      <c r="V44" s="492"/>
      <c r="W44" s="492"/>
      <c r="X44" s="492"/>
      <c r="Y44" s="492"/>
      <c r="Z44" s="205"/>
      <c r="AA44" s="205"/>
      <c r="AB44" s="206">
        <v>-1500</v>
      </c>
      <c r="AC44" s="198" t="s">
        <v>1</v>
      </c>
    </row>
    <row r="45" spans="1:29">
      <c r="A45" s="523" t="s">
        <v>244</v>
      </c>
      <c r="B45" s="492"/>
      <c r="C45" s="492"/>
      <c r="D45" s="492"/>
      <c r="E45" s="492"/>
      <c r="F45" s="492"/>
      <c r="G45" s="492"/>
      <c r="H45" s="492"/>
      <c r="I45" s="492"/>
      <c r="J45" s="492"/>
      <c r="K45" s="492"/>
      <c r="L45" s="492"/>
      <c r="M45" s="492"/>
      <c r="N45" s="492"/>
      <c r="O45" s="492"/>
      <c r="P45" s="492"/>
      <c r="Q45" s="492"/>
      <c r="R45" s="492"/>
      <c r="S45" s="492"/>
      <c r="T45" s="492"/>
      <c r="U45" s="492"/>
      <c r="V45" s="492"/>
      <c r="W45" s="492"/>
      <c r="X45" s="492"/>
      <c r="Y45" s="492"/>
      <c r="Z45" s="205"/>
      <c r="AA45" s="205"/>
      <c r="AB45" s="206">
        <v>-1278</v>
      </c>
      <c r="AC45" s="198" t="s">
        <v>1</v>
      </c>
    </row>
    <row r="46" spans="1:29">
      <c r="A46" s="523" t="s">
        <v>246</v>
      </c>
      <c r="B46" s="492"/>
      <c r="C46" s="492"/>
      <c r="D46" s="492"/>
      <c r="E46" s="492"/>
      <c r="F46" s="492"/>
      <c r="G46" s="492"/>
      <c r="H46" s="492"/>
      <c r="I46" s="492"/>
      <c r="J46" s="492"/>
      <c r="K46" s="492"/>
      <c r="L46" s="492"/>
      <c r="M46" s="492"/>
      <c r="N46" s="492"/>
      <c r="O46" s="492"/>
      <c r="P46" s="492"/>
      <c r="Q46" s="492"/>
      <c r="R46" s="492"/>
      <c r="S46" s="492"/>
      <c r="T46" s="492"/>
      <c r="U46" s="492"/>
      <c r="V46" s="492"/>
      <c r="W46" s="492"/>
      <c r="X46" s="492"/>
      <c r="Y46" s="492"/>
      <c r="Z46" s="205"/>
      <c r="AA46" s="205"/>
      <c r="AB46" s="206">
        <v>-3000</v>
      </c>
      <c r="AC46" s="198" t="s">
        <v>1</v>
      </c>
    </row>
    <row r="47" spans="1:29">
      <c r="A47" s="491" t="s">
        <v>221</v>
      </c>
      <c r="B47" s="492"/>
      <c r="C47" s="492"/>
      <c r="D47" s="492"/>
      <c r="E47" s="492"/>
      <c r="F47" s="492"/>
      <c r="G47" s="492"/>
      <c r="H47" s="492"/>
      <c r="I47" s="492"/>
      <c r="J47" s="492"/>
      <c r="K47" s="492"/>
      <c r="L47" s="492"/>
      <c r="M47" s="492"/>
      <c r="N47" s="492"/>
      <c r="O47" s="492"/>
      <c r="P47" s="492"/>
      <c r="Q47" s="492"/>
      <c r="R47" s="492"/>
      <c r="S47" s="492"/>
      <c r="T47" s="492"/>
      <c r="U47" s="492"/>
      <c r="V47" s="492"/>
      <c r="W47" s="492"/>
      <c r="X47" s="492"/>
      <c r="Y47" s="492"/>
      <c r="Z47" s="205">
        <f>SUM(Z44:Z46)</f>
        <v>0</v>
      </c>
      <c r="AA47" s="205">
        <f>SUM(AA44:AA46)</f>
        <v>0</v>
      </c>
      <c r="AB47" s="205">
        <f>SUM(AB44:AB46)</f>
        <v>-5778</v>
      </c>
      <c r="AC47" s="198" t="s">
        <v>1</v>
      </c>
    </row>
    <row r="48" spans="1:29">
      <c r="A48" s="553" t="s">
        <v>77</v>
      </c>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205">
        <f>+Z42+Z47</f>
        <v>0</v>
      </c>
      <c r="AA48" s="205">
        <f>+AA42+AA47</f>
        <v>46</v>
      </c>
      <c r="AB48" s="205">
        <f>+AB42+AB47</f>
        <v>36078</v>
      </c>
      <c r="AC48" s="198" t="s">
        <v>1</v>
      </c>
    </row>
    <row r="49" spans="1:29" hidden="1">
      <c r="A49" s="554" t="s">
        <v>77</v>
      </c>
      <c r="B49" s="539"/>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205">
        <f>Z48</f>
        <v>0</v>
      </c>
      <c r="AA49" s="205">
        <f>AA48</f>
        <v>46</v>
      </c>
      <c r="AB49" s="205">
        <f>AB48</f>
        <v>36078</v>
      </c>
      <c r="AC49" s="198" t="s">
        <v>1</v>
      </c>
    </row>
    <row r="50" spans="1:29">
      <c r="A50" s="175" t="s">
        <v>154</v>
      </c>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364">
        <f>Z49+Z17</f>
        <v>5101</v>
      </c>
      <c r="AA50" s="363">
        <f>AA49+AA17</f>
        <v>5071</v>
      </c>
      <c r="AB50" s="363">
        <f>AB49+AB17</f>
        <v>1150850</v>
      </c>
      <c r="AC50" s="198" t="s">
        <v>1</v>
      </c>
    </row>
    <row r="51" spans="1:29">
      <c r="A51" s="536" t="s">
        <v>146</v>
      </c>
      <c r="B51" s="537"/>
      <c r="C51" s="537"/>
      <c r="D51" s="537"/>
      <c r="E51" s="537"/>
      <c r="F51" s="537"/>
      <c r="G51" s="537"/>
      <c r="H51" s="537"/>
      <c r="I51" s="537"/>
      <c r="J51" s="537"/>
      <c r="K51" s="537"/>
      <c r="L51" s="537"/>
      <c r="M51" s="537"/>
      <c r="N51" s="537"/>
      <c r="O51" s="537"/>
      <c r="P51" s="537"/>
      <c r="Q51" s="537"/>
      <c r="R51" s="537"/>
      <c r="S51" s="537"/>
      <c r="T51" s="537"/>
      <c r="U51" s="537"/>
      <c r="V51" s="537"/>
      <c r="W51" s="537"/>
      <c r="X51" s="537"/>
      <c r="Y51" s="537"/>
      <c r="Z51" s="205"/>
      <c r="AA51" s="205"/>
      <c r="AB51" s="206"/>
      <c r="AC51" s="198" t="s">
        <v>1</v>
      </c>
    </row>
    <row r="52" spans="1:29">
      <c r="A52" s="491" t="s">
        <v>245</v>
      </c>
      <c r="B52" s="492"/>
      <c r="C52" s="492"/>
      <c r="D52" s="492"/>
      <c r="E52" s="492"/>
      <c r="F52" s="492"/>
      <c r="G52" s="492"/>
      <c r="H52" s="492"/>
      <c r="I52" s="492"/>
      <c r="J52" s="492"/>
      <c r="K52" s="492"/>
      <c r="L52" s="492"/>
      <c r="M52" s="492"/>
      <c r="N52" s="492"/>
      <c r="O52" s="492"/>
      <c r="P52" s="492"/>
      <c r="Q52" s="492"/>
      <c r="R52" s="492"/>
      <c r="S52" s="492"/>
      <c r="T52" s="492"/>
      <c r="U52" s="492"/>
      <c r="V52" s="492"/>
      <c r="W52" s="492"/>
      <c r="X52" s="492"/>
      <c r="Y52" s="492"/>
      <c r="Z52" s="205">
        <v>37</v>
      </c>
      <c r="AA52" s="205">
        <v>37</v>
      </c>
      <c r="AB52" s="206">
        <v>11815</v>
      </c>
      <c r="AC52" s="198" t="s">
        <v>1</v>
      </c>
    </row>
    <row r="53" spans="1:29">
      <c r="A53" s="491" t="s">
        <v>274</v>
      </c>
      <c r="B53" s="492"/>
      <c r="C53" s="492"/>
      <c r="D53" s="492"/>
      <c r="E53" s="492"/>
      <c r="F53" s="492"/>
      <c r="G53" s="492"/>
      <c r="H53" s="492"/>
      <c r="I53" s="492"/>
      <c r="J53" s="492"/>
      <c r="K53" s="492"/>
      <c r="L53" s="492"/>
      <c r="M53" s="492"/>
      <c r="N53" s="492"/>
      <c r="O53" s="492"/>
      <c r="P53" s="492"/>
      <c r="Q53" s="492"/>
      <c r="R53" s="492"/>
      <c r="S53" s="492"/>
      <c r="T53" s="492"/>
      <c r="U53" s="492"/>
      <c r="V53" s="492"/>
      <c r="W53" s="492"/>
      <c r="X53" s="492"/>
      <c r="Y53" s="492"/>
      <c r="Z53" s="205">
        <v>7</v>
      </c>
      <c r="AA53" s="205">
        <v>3</v>
      </c>
      <c r="AB53" s="206">
        <v>1228</v>
      </c>
      <c r="AC53" s="198" t="s">
        <v>1</v>
      </c>
    </row>
    <row r="54" spans="1:29">
      <c r="A54" s="519" t="s">
        <v>148</v>
      </c>
      <c r="B54" s="520"/>
      <c r="C54" s="520"/>
      <c r="D54" s="520"/>
      <c r="E54" s="520"/>
      <c r="F54" s="520"/>
      <c r="G54" s="520"/>
      <c r="H54" s="520"/>
      <c r="I54" s="520"/>
      <c r="J54" s="520"/>
      <c r="K54" s="520"/>
      <c r="L54" s="520"/>
      <c r="M54" s="520"/>
      <c r="N54" s="520"/>
      <c r="O54" s="520"/>
      <c r="P54" s="520"/>
      <c r="Q54" s="520"/>
      <c r="R54" s="520"/>
      <c r="S54" s="520"/>
      <c r="T54" s="520"/>
      <c r="U54" s="520"/>
      <c r="V54" s="520"/>
      <c r="W54" s="520"/>
      <c r="X54" s="520"/>
      <c r="Y54" s="520"/>
      <c r="Z54" s="205">
        <f>SUM(Z52:Z53)</f>
        <v>44</v>
      </c>
      <c r="AA54" s="205">
        <f>SUM(AA52:AA53)</f>
        <v>40</v>
      </c>
      <c r="AB54" s="205">
        <f>SUM(AB52:AB53)</f>
        <v>13043</v>
      </c>
      <c r="AC54" s="198" t="s">
        <v>1</v>
      </c>
    </row>
    <row r="55" spans="1:29">
      <c r="A55" s="538" t="s">
        <v>231</v>
      </c>
      <c r="B55" s="539"/>
      <c r="C55" s="539"/>
      <c r="D55" s="539"/>
      <c r="E55" s="539"/>
      <c r="F55" s="539"/>
      <c r="G55" s="539"/>
      <c r="H55" s="539"/>
      <c r="I55" s="539"/>
      <c r="J55" s="539"/>
      <c r="K55" s="539"/>
      <c r="L55" s="539"/>
      <c r="M55" s="539"/>
      <c r="N55" s="539"/>
      <c r="O55" s="539"/>
      <c r="P55" s="539"/>
      <c r="Q55" s="539"/>
      <c r="R55" s="539"/>
      <c r="S55" s="539"/>
      <c r="T55" s="539"/>
      <c r="U55" s="539"/>
      <c r="V55" s="539"/>
      <c r="W55" s="539"/>
      <c r="X55" s="539"/>
      <c r="Y55" s="539"/>
      <c r="Z55" s="205"/>
      <c r="AA55" s="205"/>
      <c r="AB55" s="206"/>
      <c r="AC55" s="198" t="s">
        <v>1</v>
      </c>
    </row>
    <row r="56" spans="1:29">
      <c r="A56" s="491" t="s">
        <v>334</v>
      </c>
      <c r="B56" s="492"/>
      <c r="C56" s="492"/>
      <c r="D56" s="492"/>
      <c r="E56" s="492"/>
      <c r="F56" s="492"/>
      <c r="G56" s="492"/>
      <c r="H56" s="492"/>
      <c r="I56" s="492"/>
      <c r="J56" s="492"/>
      <c r="K56" s="492"/>
      <c r="L56" s="492"/>
      <c r="M56" s="492"/>
      <c r="N56" s="492"/>
      <c r="O56" s="492"/>
      <c r="P56" s="492"/>
      <c r="Q56" s="492"/>
      <c r="R56" s="492"/>
      <c r="S56" s="492"/>
      <c r="T56" s="492"/>
      <c r="U56" s="492"/>
      <c r="V56" s="492"/>
      <c r="W56" s="492"/>
      <c r="X56" s="492"/>
      <c r="Y56" s="492"/>
      <c r="Z56" s="205"/>
      <c r="AA56" s="205"/>
      <c r="AB56" s="206">
        <v>-907</v>
      </c>
      <c r="AC56" s="198" t="s">
        <v>1</v>
      </c>
    </row>
    <row r="57" spans="1:29">
      <c r="A57" s="491" t="s">
        <v>149</v>
      </c>
      <c r="B57" s="492"/>
      <c r="C57" s="492"/>
      <c r="D57" s="492"/>
      <c r="E57" s="492"/>
      <c r="F57" s="492"/>
      <c r="G57" s="492"/>
      <c r="H57" s="492"/>
      <c r="I57" s="492"/>
      <c r="J57" s="492"/>
      <c r="K57" s="492"/>
      <c r="L57" s="492"/>
      <c r="M57" s="492"/>
      <c r="N57" s="492"/>
      <c r="O57" s="492"/>
      <c r="P57" s="492"/>
      <c r="Q57" s="492"/>
      <c r="R57" s="492"/>
      <c r="S57" s="492"/>
      <c r="T57" s="492"/>
      <c r="U57" s="492"/>
      <c r="V57" s="492"/>
      <c r="W57" s="492"/>
      <c r="X57" s="492"/>
      <c r="Y57" s="492"/>
      <c r="Z57" s="205">
        <f>SUM(Z56:Z56)</f>
        <v>0</v>
      </c>
      <c r="AA57" s="205">
        <f>SUM(AA56:AA56)</f>
        <v>0</v>
      </c>
      <c r="AB57" s="205">
        <f>SUM(AB56:AB56)</f>
        <v>-907</v>
      </c>
      <c r="AC57" s="198" t="s">
        <v>1</v>
      </c>
    </row>
    <row r="58" spans="1:29">
      <c r="A58" s="538" t="s">
        <v>147</v>
      </c>
      <c r="B58" s="539"/>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214">
        <f>SUM(Z54+Z57)</f>
        <v>44</v>
      </c>
      <c r="AA58" s="214">
        <f>SUM(AA54+AA57)</f>
        <v>40</v>
      </c>
      <c r="AB58" s="214">
        <f>SUM(AB54+AB57)</f>
        <v>12136</v>
      </c>
      <c r="AC58" s="198" t="s">
        <v>1</v>
      </c>
    </row>
    <row r="59" spans="1:29">
      <c r="A59" s="534" t="s">
        <v>155</v>
      </c>
      <c r="B59" s="535"/>
      <c r="C59" s="535"/>
      <c r="D59" s="535"/>
      <c r="E59" s="535"/>
      <c r="F59" s="535"/>
      <c r="G59" s="535"/>
      <c r="H59" s="535"/>
      <c r="I59" s="535"/>
      <c r="J59" s="535"/>
      <c r="K59" s="535"/>
      <c r="L59" s="535"/>
      <c r="M59" s="535"/>
      <c r="N59" s="535"/>
      <c r="O59" s="535"/>
      <c r="P59" s="535"/>
      <c r="Q59" s="535"/>
      <c r="R59" s="535"/>
      <c r="S59" s="535"/>
      <c r="T59" s="535"/>
      <c r="U59" s="535"/>
      <c r="V59" s="535"/>
      <c r="W59" s="535"/>
      <c r="X59" s="535"/>
      <c r="Y59" s="535"/>
      <c r="Z59" s="215">
        <f>Z50+Z58</f>
        <v>5145</v>
      </c>
      <c r="AA59" s="215">
        <f>AA50+AA58</f>
        <v>5111</v>
      </c>
      <c r="AB59" s="216">
        <f>AB50+AB58</f>
        <v>1162986</v>
      </c>
      <c r="AC59" s="198" t="s">
        <v>1</v>
      </c>
    </row>
    <row r="60" spans="1:29">
      <c r="A60" s="544" t="s">
        <v>11</v>
      </c>
      <c r="B60" s="535"/>
      <c r="C60" s="535"/>
      <c r="D60" s="535"/>
      <c r="E60" s="535"/>
      <c r="F60" s="535"/>
      <c r="G60" s="535"/>
      <c r="H60" s="535"/>
      <c r="I60" s="535"/>
      <c r="J60" s="535"/>
      <c r="K60" s="535"/>
      <c r="L60" s="535"/>
      <c r="M60" s="535"/>
      <c r="N60" s="535"/>
      <c r="O60" s="535"/>
      <c r="P60" s="535"/>
      <c r="Q60" s="535"/>
      <c r="R60" s="535"/>
      <c r="S60" s="535"/>
      <c r="T60" s="535"/>
      <c r="U60" s="535"/>
      <c r="V60" s="535"/>
      <c r="W60" s="535"/>
      <c r="X60" s="535"/>
      <c r="Y60" s="535"/>
      <c r="Z60" s="212">
        <f>Z59-Z17</f>
        <v>44</v>
      </c>
      <c r="AA60" s="212">
        <f>AA59-AA17</f>
        <v>86</v>
      </c>
      <c r="AB60" s="213">
        <f>AB59-AB17</f>
        <v>48214</v>
      </c>
      <c r="AC60" s="198" t="s">
        <v>1</v>
      </c>
    </row>
    <row r="61" spans="1:29">
      <c r="AC61" s="198" t="s">
        <v>1</v>
      </c>
    </row>
    <row r="62" spans="1:29">
      <c r="O62" s="180" t="s">
        <v>13</v>
      </c>
      <c r="AC62" s="198" t="s">
        <v>1</v>
      </c>
    </row>
    <row r="63" spans="1:29">
      <c r="AC63" s="198" t="s">
        <v>1</v>
      </c>
    </row>
    <row r="64" spans="1:29" ht="22.5">
      <c r="A64" s="499" t="s">
        <v>216</v>
      </c>
      <c r="B64" s="500"/>
      <c r="C64" s="500"/>
      <c r="D64" s="500"/>
      <c r="E64" s="500"/>
      <c r="F64" s="500"/>
      <c r="G64" s="500"/>
      <c r="H64" s="500"/>
      <c r="I64" s="500"/>
      <c r="J64" s="500"/>
      <c r="K64" s="500"/>
      <c r="L64" s="500"/>
      <c r="M64" s="500"/>
      <c r="N64" s="500"/>
      <c r="O64" s="500"/>
      <c r="P64" s="500"/>
      <c r="Q64" s="500"/>
      <c r="R64" s="500"/>
      <c r="S64" s="500"/>
      <c r="T64" s="500"/>
      <c r="U64" s="500"/>
      <c r="V64" s="500"/>
      <c r="W64" s="500"/>
      <c r="X64" s="500"/>
      <c r="Y64" s="500"/>
      <c r="Z64" s="500"/>
      <c r="AA64" s="500"/>
      <c r="AB64" s="500"/>
      <c r="AC64" s="198" t="s">
        <v>1</v>
      </c>
    </row>
    <row r="65" spans="1:29" ht="23.25">
      <c r="A65" s="501" t="str">
        <f>A5</f>
        <v>Bureau of Alcohol, Tobacco, Firearms and Explosives</v>
      </c>
      <c r="B65" s="502"/>
      <c r="C65" s="502"/>
      <c r="D65" s="502"/>
      <c r="E65" s="502"/>
      <c r="F65" s="502"/>
      <c r="G65" s="502"/>
      <c r="H65" s="502"/>
      <c r="I65" s="502"/>
      <c r="J65" s="502"/>
      <c r="K65" s="502"/>
      <c r="L65" s="502"/>
      <c r="M65" s="502"/>
      <c r="N65" s="502"/>
      <c r="O65" s="502"/>
      <c r="P65" s="502"/>
      <c r="Q65" s="502"/>
      <c r="R65" s="502"/>
      <c r="S65" s="502"/>
      <c r="T65" s="502"/>
      <c r="U65" s="502"/>
      <c r="V65" s="502"/>
      <c r="W65" s="502"/>
      <c r="X65" s="502"/>
      <c r="Y65" s="502"/>
      <c r="Z65" s="502"/>
      <c r="AA65" s="502"/>
      <c r="AB65" s="502"/>
      <c r="AC65" s="198" t="s">
        <v>1</v>
      </c>
    </row>
    <row r="66" spans="1:29" ht="23.25">
      <c r="A66" s="501" t="s">
        <v>205</v>
      </c>
      <c r="B66" s="500"/>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198" t="s">
        <v>1</v>
      </c>
    </row>
    <row r="67" spans="1:29" ht="23.25">
      <c r="A67" s="501" t="s">
        <v>204</v>
      </c>
      <c r="B67" s="502"/>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c r="AA67" s="502"/>
      <c r="AB67" s="502"/>
      <c r="AC67" s="198" t="s">
        <v>1</v>
      </c>
    </row>
    <row r="68" spans="1:29">
      <c r="AC68" s="198" t="s">
        <v>1</v>
      </c>
    </row>
    <row r="69" spans="1:29">
      <c r="AC69" s="198" t="s">
        <v>1</v>
      </c>
    </row>
    <row r="70" spans="1:29">
      <c r="AC70" s="198" t="s">
        <v>1</v>
      </c>
    </row>
    <row r="71" spans="1:29" ht="18" customHeight="1">
      <c r="AC71" s="198" t="s">
        <v>1</v>
      </c>
    </row>
    <row r="72" spans="1:29" ht="18" customHeight="1">
      <c r="A72" s="150"/>
      <c r="B72" s="150"/>
      <c r="C72" s="150"/>
      <c r="D72" s="150"/>
      <c r="E72" s="150"/>
      <c r="F72" s="150"/>
      <c r="G72" s="150"/>
      <c r="H72" s="151"/>
      <c r="I72" s="151"/>
      <c r="J72" s="151"/>
      <c r="K72" s="151"/>
      <c r="L72" s="151"/>
      <c r="M72" s="151"/>
      <c r="N72" s="151"/>
      <c r="O72" s="151"/>
      <c r="P72" s="151"/>
      <c r="Q72" s="151"/>
      <c r="R72" s="151"/>
      <c r="S72" s="151"/>
      <c r="T72" s="151"/>
      <c r="U72" s="151"/>
      <c r="V72" s="151"/>
      <c r="W72" s="151"/>
      <c r="X72" s="151"/>
      <c r="Y72" s="151"/>
      <c r="Z72" s="151"/>
      <c r="AA72" s="151"/>
      <c r="AB72" s="151"/>
      <c r="AC72" s="198" t="s">
        <v>1</v>
      </c>
    </row>
    <row r="73" spans="1:29" ht="18" customHeight="1">
      <c r="A73" s="557" t="s">
        <v>224</v>
      </c>
      <c r="B73" s="558"/>
      <c r="C73" s="558"/>
      <c r="D73" s="558"/>
      <c r="E73" s="558"/>
      <c r="F73" s="558"/>
      <c r="G73" s="559"/>
      <c r="H73" s="527" t="s">
        <v>114</v>
      </c>
      <c r="I73" s="528"/>
      <c r="J73" s="545"/>
      <c r="K73" s="547" t="s">
        <v>156</v>
      </c>
      <c r="L73" s="548"/>
      <c r="M73" s="549"/>
      <c r="N73" s="527" t="s">
        <v>157</v>
      </c>
      <c r="O73" s="528"/>
      <c r="P73" s="545"/>
      <c r="Q73" s="527" t="s">
        <v>154</v>
      </c>
      <c r="R73" s="528"/>
      <c r="S73" s="545"/>
      <c r="T73" s="527" t="s">
        <v>158</v>
      </c>
      <c r="U73" s="541"/>
      <c r="V73" s="541"/>
      <c r="W73" s="527" t="s">
        <v>159</v>
      </c>
      <c r="X73" s="528"/>
      <c r="Y73" s="528"/>
      <c r="Z73" s="527" t="s">
        <v>160</v>
      </c>
      <c r="AA73" s="528"/>
      <c r="AB73" s="545"/>
      <c r="AC73" s="198" t="s">
        <v>1</v>
      </c>
    </row>
    <row r="74" spans="1:29" ht="28.5" customHeight="1">
      <c r="A74" s="560"/>
      <c r="B74" s="561"/>
      <c r="C74" s="561"/>
      <c r="D74" s="561"/>
      <c r="E74" s="561"/>
      <c r="F74" s="561"/>
      <c r="G74" s="562"/>
      <c r="H74" s="529"/>
      <c r="I74" s="530"/>
      <c r="J74" s="546"/>
      <c r="K74" s="550"/>
      <c r="L74" s="551"/>
      <c r="M74" s="552"/>
      <c r="N74" s="529"/>
      <c r="O74" s="530"/>
      <c r="P74" s="546"/>
      <c r="Q74" s="529"/>
      <c r="R74" s="530"/>
      <c r="S74" s="546"/>
      <c r="T74" s="542"/>
      <c r="U74" s="543"/>
      <c r="V74" s="543"/>
      <c r="W74" s="529"/>
      <c r="X74" s="530"/>
      <c r="Y74" s="530"/>
      <c r="Z74" s="529"/>
      <c r="AA74" s="530"/>
      <c r="AB74" s="546"/>
      <c r="AC74" s="198" t="s">
        <v>1</v>
      </c>
    </row>
    <row r="75" spans="1:29" ht="18" customHeight="1" thickBot="1">
      <c r="A75" s="563"/>
      <c r="B75" s="564"/>
      <c r="C75" s="564"/>
      <c r="D75" s="564"/>
      <c r="E75" s="564"/>
      <c r="F75" s="564"/>
      <c r="G75" s="565"/>
      <c r="H75" s="127" t="s">
        <v>225</v>
      </c>
      <c r="I75" s="128" t="s">
        <v>85</v>
      </c>
      <c r="J75" s="129" t="s">
        <v>227</v>
      </c>
      <c r="K75" s="127" t="s">
        <v>225</v>
      </c>
      <c r="L75" s="128" t="s">
        <v>85</v>
      </c>
      <c r="M75" s="129" t="s">
        <v>227</v>
      </c>
      <c r="N75" s="127" t="s">
        <v>225</v>
      </c>
      <c r="O75" s="128" t="s">
        <v>85</v>
      </c>
      <c r="P75" s="129" t="s">
        <v>227</v>
      </c>
      <c r="Q75" s="127" t="s">
        <v>225</v>
      </c>
      <c r="R75" s="128" t="s">
        <v>85</v>
      </c>
      <c r="S75" s="129" t="s">
        <v>227</v>
      </c>
      <c r="T75" s="127" t="s">
        <v>225</v>
      </c>
      <c r="U75" s="128" t="s">
        <v>85</v>
      </c>
      <c r="V75" s="129" t="s">
        <v>227</v>
      </c>
      <c r="W75" s="127" t="s">
        <v>225</v>
      </c>
      <c r="X75" s="128" t="s">
        <v>85</v>
      </c>
      <c r="Y75" s="129" t="s">
        <v>227</v>
      </c>
      <c r="Z75" s="127" t="s">
        <v>225</v>
      </c>
      <c r="AA75" s="128" t="s">
        <v>85</v>
      </c>
      <c r="AB75" s="130" t="s">
        <v>227</v>
      </c>
      <c r="AC75" s="198" t="s">
        <v>1</v>
      </c>
    </row>
    <row r="76" spans="1:29" ht="18" customHeight="1">
      <c r="A76" s="578" t="s">
        <v>254</v>
      </c>
      <c r="B76" s="579"/>
      <c r="C76" s="579"/>
      <c r="D76" s="579"/>
      <c r="E76" s="579"/>
      <c r="F76" s="579"/>
      <c r="G76" s="580"/>
      <c r="H76" s="297">
        <v>3594</v>
      </c>
      <c r="I76" s="298">
        <v>3547</v>
      </c>
      <c r="J76" s="298">
        <f>759035+20237</f>
        <v>779272</v>
      </c>
      <c r="K76" s="297">
        <v>3687</v>
      </c>
      <c r="L76" s="298">
        <v>3614</v>
      </c>
      <c r="M76" s="298">
        <v>802636</v>
      </c>
      <c r="N76" s="297">
        <v>0</v>
      </c>
      <c r="O76" s="298">
        <v>46</v>
      </c>
      <c r="P76" s="298">
        <v>22668</v>
      </c>
      <c r="Q76" s="297">
        <f>N76+K76</f>
        <v>3687</v>
      </c>
      <c r="R76" s="298">
        <f>+L76+O76</f>
        <v>3660</v>
      </c>
      <c r="S76" s="298">
        <f>P76+M76</f>
        <v>825304</v>
      </c>
      <c r="T76" s="297">
        <v>42</v>
      </c>
      <c r="U76" s="298">
        <v>40</v>
      </c>
      <c r="V76" s="298">
        <v>12699</v>
      </c>
      <c r="W76" s="297">
        <v>0</v>
      </c>
      <c r="X76" s="298">
        <v>0</v>
      </c>
      <c r="Y76" s="298">
        <v>-653</v>
      </c>
      <c r="Z76" s="297">
        <f>T76+Q76</f>
        <v>3729</v>
      </c>
      <c r="AA76" s="298">
        <f>+R76+U76+X76</f>
        <v>3700</v>
      </c>
      <c r="AB76" s="299">
        <f>V76+S76+Y76</f>
        <v>837350</v>
      </c>
      <c r="AC76" s="198" t="s">
        <v>1</v>
      </c>
    </row>
    <row r="77" spans="1:29" ht="18" customHeight="1">
      <c r="A77" s="590" t="s">
        <v>255</v>
      </c>
      <c r="B77" s="591"/>
      <c r="C77" s="591"/>
      <c r="D77" s="591"/>
      <c r="E77" s="591"/>
      <c r="F77" s="591"/>
      <c r="G77" s="592"/>
      <c r="H77" s="297">
        <v>1321</v>
      </c>
      <c r="I77" s="298">
        <v>1320</v>
      </c>
      <c r="J77" s="298">
        <f>274096+3756</f>
        <v>277852</v>
      </c>
      <c r="K77" s="297">
        <v>1321</v>
      </c>
      <c r="L77" s="298">
        <v>1321</v>
      </c>
      <c r="M77" s="298">
        <v>289841</v>
      </c>
      <c r="N77" s="297">
        <v>0</v>
      </c>
      <c r="O77" s="298">
        <v>0</v>
      </c>
      <c r="P77" s="298">
        <v>12452</v>
      </c>
      <c r="Q77" s="297">
        <f>N77+K77</f>
        <v>1321</v>
      </c>
      <c r="R77" s="298">
        <f>+L77+O77</f>
        <v>1321</v>
      </c>
      <c r="S77" s="298">
        <f>P77+M77</f>
        <v>302293</v>
      </c>
      <c r="T77" s="297">
        <v>2</v>
      </c>
      <c r="U77" s="298">
        <v>0</v>
      </c>
      <c r="V77" s="298">
        <v>320</v>
      </c>
      <c r="W77" s="297">
        <v>0</v>
      </c>
      <c r="X77" s="298">
        <v>0</v>
      </c>
      <c r="Y77" s="298">
        <v>-236</v>
      </c>
      <c r="Z77" s="297">
        <f>T77+Q77</f>
        <v>1323</v>
      </c>
      <c r="AA77" s="298">
        <f>+R77+U77+X77</f>
        <v>1321</v>
      </c>
      <c r="AB77" s="299">
        <f>V77+S77+Y77</f>
        <v>302377</v>
      </c>
      <c r="AC77" s="198" t="s">
        <v>1</v>
      </c>
    </row>
    <row r="78" spans="1:29" ht="18" customHeight="1">
      <c r="A78" s="587" t="s">
        <v>256</v>
      </c>
      <c r="B78" s="588"/>
      <c r="C78" s="588"/>
      <c r="D78" s="588"/>
      <c r="E78" s="588"/>
      <c r="F78" s="588"/>
      <c r="G78" s="589"/>
      <c r="H78" s="300">
        <v>93</v>
      </c>
      <c r="I78" s="301">
        <v>90</v>
      </c>
      <c r="J78" s="301">
        <f>21084+7</f>
        <v>21091</v>
      </c>
      <c r="K78" s="300">
        <v>93</v>
      </c>
      <c r="L78" s="301">
        <v>90</v>
      </c>
      <c r="M78" s="301">
        <v>22295</v>
      </c>
      <c r="N78" s="300">
        <v>0</v>
      </c>
      <c r="O78" s="301">
        <v>0</v>
      </c>
      <c r="P78" s="301">
        <v>958</v>
      </c>
      <c r="Q78" s="300">
        <f>N78+K78</f>
        <v>93</v>
      </c>
      <c r="R78" s="301">
        <f>+L78+O78</f>
        <v>90</v>
      </c>
      <c r="S78" s="301">
        <f>P78+M78</f>
        <v>23253</v>
      </c>
      <c r="T78" s="300">
        <v>0</v>
      </c>
      <c r="U78" s="301">
        <v>0</v>
      </c>
      <c r="V78" s="301">
        <v>24</v>
      </c>
      <c r="W78" s="300">
        <v>0</v>
      </c>
      <c r="X78" s="301">
        <v>0</v>
      </c>
      <c r="Y78" s="301">
        <v>-18</v>
      </c>
      <c r="Z78" s="300">
        <f>T78+Q78</f>
        <v>93</v>
      </c>
      <c r="AA78" s="301">
        <f>+R78+U78+X78</f>
        <v>90</v>
      </c>
      <c r="AB78" s="302">
        <f>V78+S78+Y78</f>
        <v>23259</v>
      </c>
      <c r="AC78" s="198" t="s">
        <v>1</v>
      </c>
    </row>
    <row r="79" spans="1:29" ht="18" customHeight="1">
      <c r="A79" s="566" t="s">
        <v>86</v>
      </c>
      <c r="B79" s="567"/>
      <c r="C79" s="567"/>
      <c r="D79" s="567"/>
      <c r="E79" s="567"/>
      <c r="F79" s="567"/>
      <c r="G79" s="568"/>
      <c r="H79" s="217">
        <f>SUM(H76:H78)</f>
        <v>5008</v>
      </c>
      <c r="I79" s="365">
        <f t="shared" ref="I79:Y79" si="0">SUM(I76:I78)</f>
        <v>4957</v>
      </c>
      <c r="J79" s="296">
        <f t="shared" si="0"/>
        <v>1078215</v>
      </c>
      <c r="K79" s="303">
        <f t="shared" si="0"/>
        <v>5101</v>
      </c>
      <c r="L79" s="377">
        <f t="shared" si="0"/>
        <v>5025</v>
      </c>
      <c r="M79" s="296">
        <f t="shared" si="0"/>
        <v>1114772</v>
      </c>
      <c r="N79" s="303">
        <f t="shared" si="0"/>
        <v>0</v>
      </c>
      <c r="O79" s="377">
        <f t="shared" si="0"/>
        <v>46</v>
      </c>
      <c r="P79" s="296">
        <f t="shared" si="0"/>
        <v>36078</v>
      </c>
      <c r="Q79" s="303">
        <f t="shared" si="0"/>
        <v>5101</v>
      </c>
      <c r="R79" s="377">
        <f>SUM(R76:R78)</f>
        <v>5071</v>
      </c>
      <c r="S79" s="296">
        <f t="shared" si="0"/>
        <v>1150850</v>
      </c>
      <c r="T79" s="303">
        <f t="shared" si="0"/>
        <v>44</v>
      </c>
      <c r="U79" s="377">
        <f t="shared" si="0"/>
        <v>40</v>
      </c>
      <c r="V79" s="296">
        <f t="shared" si="0"/>
        <v>13043</v>
      </c>
      <c r="W79" s="303">
        <f t="shared" si="0"/>
        <v>0</v>
      </c>
      <c r="X79" s="377">
        <f t="shared" si="0"/>
        <v>0</v>
      </c>
      <c r="Y79" s="296">
        <f t="shared" si="0"/>
        <v>-907</v>
      </c>
      <c r="Z79" s="303">
        <f>SUM(Z76:Z78)</f>
        <v>5145</v>
      </c>
      <c r="AA79" s="377">
        <f>SUM(AA76:AA78)</f>
        <v>5111</v>
      </c>
      <c r="AB79" s="304">
        <f>SUM(AB76:AB78)</f>
        <v>1162986</v>
      </c>
      <c r="AC79" s="198" t="s">
        <v>1</v>
      </c>
    </row>
    <row r="80" spans="1:29" ht="18" customHeight="1">
      <c r="A80" s="581" t="s">
        <v>208</v>
      </c>
      <c r="B80" s="582"/>
      <c r="C80" s="582"/>
      <c r="D80" s="582"/>
      <c r="E80" s="582"/>
      <c r="F80" s="582"/>
      <c r="G80" s="583"/>
      <c r="H80" s="487"/>
      <c r="I80" s="376"/>
      <c r="J80" s="489"/>
      <c r="K80" s="493"/>
      <c r="L80" s="376"/>
      <c r="M80" s="489"/>
      <c r="N80" s="493"/>
      <c r="O80" s="521"/>
      <c r="P80" s="489"/>
      <c r="Q80" s="493"/>
      <c r="R80" s="376"/>
      <c r="S80" s="489"/>
      <c r="T80" s="493"/>
      <c r="U80" s="376"/>
      <c r="V80" s="489"/>
      <c r="W80" s="493"/>
      <c r="X80" s="521"/>
      <c r="Y80" s="521"/>
      <c r="Z80" s="493"/>
      <c r="AA80" s="376"/>
      <c r="AB80" s="489"/>
      <c r="AC80" s="198" t="s">
        <v>1</v>
      </c>
    </row>
    <row r="81" spans="1:29" ht="18" customHeight="1">
      <c r="A81" s="584"/>
      <c r="B81" s="585"/>
      <c r="C81" s="585"/>
      <c r="D81" s="585"/>
      <c r="E81" s="585"/>
      <c r="F81" s="585"/>
      <c r="G81" s="586"/>
      <c r="H81" s="488"/>
      <c r="I81" s="407">
        <v>55</v>
      </c>
      <c r="J81" s="490"/>
      <c r="K81" s="494"/>
      <c r="L81" s="407">
        <v>55</v>
      </c>
      <c r="M81" s="490"/>
      <c r="N81" s="494"/>
      <c r="O81" s="522"/>
      <c r="P81" s="490"/>
      <c r="Q81" s="494"/>
      <c r="R81" s="407">
        <f>L81+O80</f>
        <v>55</v>
      </c>
      <c r="S81" s="490"/>
      <c r="T81" s="494"/>
      <c r="U81" s="407">
        <f>3+4+2</f>
        <v>9</v>
      </c>
      <c r="V81" s="490"/>
      <c r="W81" s="494"/>
      <c r="X81" s="522"/>
      <c r="Y81" s="522"/>
      <c r="Z81" s="494"/>
      <c r="AA81" s="407">
        <f>R81+U81</f>
        <v>64</v>
      </c>
      <c r="AB81" s="490"/>
      <c r="AC81" s="198" t="s">
        <v>1</v>
      </c>
    </row>
    <row r="82" spans="1:29" ht="18" customHeight="1">
      <c r="A82" s="569" t="s">
        <v>211</v>
      </c>
      <c r="B82" s="570"/>
      <c r="C82" s="570"/>
      <c r="D82" s="570"/>
      <c r="E82" s="570"/>
      <c r="F82" s="570"/>
      <c r="G82" s="571"/>
      <c r="H82" s="131"/>
      <c r="I82" s="408">
        <f>+I79+I81</f>
        <v>5012</v>
      </c>
      <c r="J82" s="408"/>
      <c r="K82" s="409"/>
      <c r="L82" s="408">
        <f>+L79+L81</f>
        <v>5080</v>
      </c>
      <c r="M82" s="408"/>
      <c r="N82" s="409"/>
      <c r="O82" s="408">
        <f>+O79+O81</f>
        <v>46</v>
      </c>
      <c r="P82" s="408"/>
      <c r="Q82" s="409"/>
      <c r="R82" s="408">
        <f>+R79+R81</f>
        <v>5126</v>
      </c>
      <c r="S82" s="408"/>
      <c r="T82" s="409"/>
      <c r="U82" s="408">
        <f>+U79+U81</f>
        <v>49</v>
      </c>
      <c r="V82" s="408"/>
      <c r="W82" s="409"/>
      <c r="X82" s="408">
        <f>+X79+X81</f>
        <v>0</v>
      </c>
      <c r="Y82" s="408"/>
      <c r="Z82" s="409"/>
      <c r="AA82" s="408">
        <f>+AA79+AA81</f>
        <v>5175</v>
      </c>
      <c r="AB82" s="410"/>
      <c r="AC82" s="198" t="s">
        <v>1</v>
      </c>
    </row>
    <row r="83" spans="1:29" ht="18" customHeight="1">
      <c r="A83" s="572" t="s">
        <v>209</v>
      </c>
      <c r="B83" s="573"/>
      <c r="C83" s="573"/>
      <c r="D83" s="573"/>
      <c r="E83" s="573"/>
      <c r="F83" s="573"/>
      <c r="G83" s="574"/>
      <c r="H83" s="485"/>
      <c r="I83" s="479"/>
      <c r="J83" s="483"/>
      <c r="K83" s="481"/>
      <c r="L83" s="479"/>
      <c r="M83" s="483"/>
      <c r="N83" s="481"/>
      <c r="O83" s="479"/>
      <c r="P83" s="483"/>
      <c r="Q83" s="481"/>
      <c r="R83" s="479"/>
      <c r="S83" s="483"/>
      <c r="T83" s="481"/>
      <c r="U83" s="479"/>
      <c r="V83" s="483"/>
      <c r="W83" s="481"/>
      <c r="X83" s="479"/>
      <c r="Y83" s="479"/>
      <c r="Z83" s="481"/>
      <c r="AA83" s="479"/>
      <c r="AB83" s="483"/>
      <c r="AC83" s="198" t="s">
        <v>1</v>
      </c>
    </row>
    <row r="84" spans="1:29" ht="18" customHeight="1">
      <c r="A84" s="575"/>
      <c r="B84" s="576"/>
      <c r="C84" s="576"/>
      <c r="D84" s="576"/>
      <c r="E84" s="576"/>
      <c r="F84" s="576"/>
      <c r="G84" s="577"/>
      <c r="H84" s="486"/>
      <c r="I84" s="480"/>
      <c r="J84" s="484"/>
      <c r="K84" s="482"/>
      <c r="L84" s="480"/>
      <c r="M84" s="484"/>
      <c r="N84" s="482"/>
      <c r="O84" s="480"/>
      <c r="P84" s="484"/>
      <c r="Q84" s="482"/>
      <c r="R84" s="480"/>
      <c r="S84" s="484"/>
      <c r="T84" s="482"/>
      <c r="U84" s="480"/>
      <c r="V84" s="484"/>
      <c r="W84" s="482"/>
      <c r="X84" s="480"/>
      <c r="Y84" s="480"/>
      <c r="Z84" s="482"/>
      <c r="AA84" s="480"/>
      <c r="AB84" s="484"/>
      <c r="AC84" s="198" t="s">
        <v>1</v>
      </c>
    </row>
    <row r="85" spans="1:29" ht="18" customHeight="1">
      <c r="A85" s="555" t="s">
        <v>91</v>
      </c>
      <c r="B85" s="492"/>
      <c r="C85" s="492"/>
      <c r="D85" s="492"/>
      <c r="E85" s="492"/>
      <c r="F85" s="492"/>
      <c r="G85" s="556"/>
      <c r="H85" s="131"/>
      <c r="I85" s="408">
        <f>ROUNDUP((((2*261)*2533)/2088),0)</f>
        <v>634</v>
      </c>
      <c r="J85" s="408"/>
      <c r="K85" s="409"/>
      <c r="L85" s="408">
        <f>ROUNDUP((((2*261)*2562)/2088),0)</f>
        <v>641</v>
      </c>
      <c r="M85" s="408"/>
      <c r="N85" s="409"/>
      <c r="O85" s="408">
        <f>ROUNDUP((((2*261)*17)/2088),0)</f>
        <v>5</v>
      </c>
      <c r="P85" s="408"/>
      <c r="Q85" s="409"/>
      <c r="R85" s="408">
        <f>O85+L85</f>
        <v>646</v>
      </c>
      <c r="S85" s="408"/>
      <c r="T85" s="409"/>
      <c r="U85" s="408">
        <f>ROUNDUP((((2*261)*(25+2+1+4))/2088),0)</f>
        <v>8</v>
      </c>
      <c r="V85" s="408"/>
      <c r="W85" s="409"/>
      <c r="X85" s="408"/>
      <c r="Y85" s="408"/>
      <c r="Z85" s="409"/>
      <c r="AA85" s="408">
        <f>R85+U85</f>
        <v>654</v>
      </c>
      <c r="AB85" s="410"/>
      <c r="AC85" s="198" t="s">
        <v>1</v>
      </c>
    </row>
    <row r="86" spans="1:29" ht="18" customHeight="1">
      <c r="A86" s="531" t="s">
        <v>145</v>
      </c>
      <c r="B86" s="532"/>
      <c r="C86" s="532"/>
      <c r="D86" s="532"/>
      <c r="E86" s="532"/>
      <c r="F86" s="532"/>
      <c r="G86" s="533"/>
      <c r="H86" s="132"/>
      <c r="I86" s="411">
        <f>ROUNDUP(49780/2088,0)</f>
        <v>24</v>
      </c>
      <c r="J86" s="407"/>
      <c r="K86" s="412"/>
      <c r="L86" s="411">
        <f>ROUNDUP((2138034/(45.32*1.02))/2088,0)</f>
        <v>23</v>
      </c>
      <c r="M86" s="407"/>
      <c r="N86" s="412"/>
      <c r="O86" s="411">
        <f>ROUNDUP(((71846)/(45.32*1.02*1.02))/2088,0)</f>
        <v>1</v>
      </c>
      <c r="P86" s="407"/>
      <c r="Q86" s="412"/>
      <c r="R86" s="407">
        <f>O86+L86</f>
        <v>24</v>
      </c>
      <c r="S86" s="407"/>
      <c r="T86" s="412"/>
      <c r="U86" s="411">
        <f>ROUNDUP(((25432)/(45.32*1.02*1.02))/2088,0)</f>
        <v>1</v>
      </c>
      <c r="V86" s="407"/>
      <c r="W86" s="412"/>
      <c r="X86" s="407"/>
      <c r="Y86" s="407"/>
      <c r="Z86" s="412"/>
      <c r="AA86" s="407">
        <f>R86+U86</f>
        <v>25</v>
      </c>
      <c r="AB86" s="413"/>
      <c r="AC86" s="198" t="s">
        <v>1</v>
      </c>
    </row>
    <row r="87" spans="1:29" ht="18" customHeight="1">
      <c r="A87" s="524" t="s">
        <v>210</v>
      </c>
      <c r="B87" s="525"/>
      <c r="C87" s="525"/>
      <c r="D87" s="525"/>
      <c r="E87" s="525"/>
      <c r="F87" s="525"/>
      <c r="G87" s="526"/>
      <c r="H87" s="132"/>
      <c r="I87" s="301">
        <f>I86+I85+I82</f>
        <v>5670</v>
      </c>
      <c r="J87" s="301"/>
      <c r="K87" s="300"/>
      <c r="L87" s="301">
        <f>L86+L85+L82</f>
        <v>5744</v>
      </c>
      <c r="M87" s="301"/>
      <c r="N87" s="300"/>
      <c r="O87" s="301">
        <f>O86+O85+O82</f>
        <v>52</v>
      </c>
      <c r="P87" s="301"/>
      <c r="Q87" s="300"/>
      <c r="R87" s="301">
        <f>R86+R85+R82</f>
        <v>5796</v>
      </c>
      <c r="S87" s="301"/>
      <c r="T87" s="300"/>
      <c r="U87" s="301">
        <f>U86+U85+U82</f>
        <v>58</v>
      </c>
      <c r="V87" s="301"/>
      <c r="W87" s="300"/>
      <c r="X87" s="301">
        <f>X86+X85+X82</f>
        <v>0</v>
      </c>
      <c r="Y87" s="301"/>
      <c r="Z87" s="300"/>
      <c r="AA87" s="301">
        <f>AA86+AA85+AA82</f>
        <v>5854</v>
      </c>
      <c r="AB87" s="302"/>
      <c r="AC87" s="198" t="s">
        <v>41</v>
      </c>
    </row>
    <row r="88" spans="1:29" ht="18" customHeight="1">
      <c r="C88" s="8"/>
      <c r="D88" s="8"/>
      <c r="E88" s="8"/>
      <c r="F88" s="8"/>
      <c r="AC88" s="198"/>
    </row>
    <row r="89" spans="1:29">
      <c r="AC89" s="198"/>
    </row>
    <row r="90" spans="1:29">
      <c r="AC90" s="198"/>
    </row>
    <row r="91" spans="1:29">
      <c r="AC91" s="198"/>
    </row>
    <row r="92" spans="1:29">
      <c r="C92" s="120"/>
      <c r="D92" s="120"/>
      <c r="E92" s="120"/>
      <c r="F92" s="120"/>
      <c r="G92" s="120"/>
      <c r="H92" s="121"/>
      <c r="I92" s="121"/>
      <c r="J92" s="121"/>
      <c r="K92" s="121"/>
      <c r="L92" s="121"/>
      <c r="M92" s="121"/>
      <c r="N92" s="121"/>
      <c r="O92" s="121"/>
      <c r="P92" s="121"/>
      <c r="Q92" s="121"/>
      <c r="R92" s="121"/>
      <c r="S92" s="121"/>
      <c r="T92" s="121"/>
      <c r="U92" s="121"/>
      <c r="V92" s="121"/>
      <c r="W92" s="121"/>
      <c r="X92" s="121"/>
      <c r="Y92" s="121"/>
      <c r="Z92" s="121"/>
      <c r="AA92" s="121"/>
      <c r="AB92" s="121"/>
    </row>
  </sheetData>
  <mergeCells count="114">
    <mergeCell ref="K80:K81"/>
    <mergeCell ref="N73:P74"/>
    <mergeCell ref="N80:N81"/>
    <mergeCell ref="O80:O81"/>
    <mergeCell ref="M80:M81"/>
    <mergeCell ref="P80:P81"/>
    <mergeCell ref="A85:G85"/>
    <mergeCell ref="A73:G75"/>
    <mergeCell ref="A79:G79"/>
    <mergeCell ref="A82:G82"/>
    <mergeCell ref="A83:G84"/>
    <mergeCell ref="A76:G76"/>
    <mergeCell ref="A80:G81"/>
    <mergeCell ref="A78:G78"/>
    <mergeCell ref="A77:G77"/>
    <mergeCell ref="A27:Y27"/>
    <mergeCell ref="A42:Y42"/>
    <mergeCell ref="A43:Y43"/>
    <mergeCell ref="A28:Y28"/>
    <mergeCell ref="A30:Y30"/>
    <mergeCell ref="A37:Y37"/>
    <mergeCell ref="A38:Y38"/>
    <mergeCell ref="A39:Y39"/>
    <mergeCell ref="A36:Y36"/>
    <mergeCell ref="A29:Y29"/>
    <mergeCell ref="A51:Y51"/>
    <mergeCell ref="A47:Y47"/>
    <mergeCell ref="A57:Y57"/>
    <mergeCell ref="A52:Y52"/>
    <mergeCell ref="A58:Y58"/>
    <mergeCell ref="A56:Y56"/>
    <mergeCell ref="A54:Y54"/>
    <mergeCell ref="A53:Y53"/>
    <mergeCell ref="A55:Y55"/>
    <mergeCell ref="Q73:S74"/>
    <mergeCell ref="H73:J74"/>
    <mergeCell ref="K73:M74"/>
    <mergeCell ref="A44:Y44"/>
    <mergeCell ref="A31:Y31"/>
    <mergeCell ref="A33:Y33"/>
    <mergeCell ref="A32:Y32"/>
    <mergeCell ref="A41:Y41"/>
    <mergeCell ref="A48:Y48"/>
    <mergeCell ref="A49:Y49"/>
    <mergeCell ref="A26:Y26"/>
    <mergeCell ref="A20:Y20"/>
    <mergeCell ref="A21:Y21"/>
    <mergeCell ref="A25:Y25"/>
    <mergeCell ref="A22:Y22"/>
    <mergeCell ref="T73:V74"/>
    <mergeCell ref="A60:Y60"/>
    <mergeCell ref="A66:AB66"/>
    <mergeCell ref="A67:AB67"/>
    <mergeCell ref="Z73:AB74"/>
    <mergeCell ref="A87:G87"/>
    <mergeCell ref="W73:Y74"/>
    <mergeCell ref="V83:V84"/>
    <mergeCell ref="N83:N84"/>
    <mergeCell ref="Q80:Q81"/>
    <mergeCell ref="R83:R84"/>
    <mergeCell ref="A86:G86"/>
    <mergeCell ref="Q83:Q84"/>
    <mergeCell ref="V80:V81"/>
    <mergeCell ref="W80:W81"/>
    <mergeCell ref="A24:Y24"/>
    <mergeCell ref="Y80:Y81"/>
    <mergeCell ref="A64:AB64"/>
    <mergeCell ref="A65:AB65"/>
    <mergeCell ref="A40:Y40"/>
    <mergeCell ref="X80:X81"/>
    <mergeCell ref="AB80:AB81"/>
    <mergeCell ref="A46:Y46"/>
    <mergeCell ref="A45:Y45"/>
    <mergeCell ref="A59:Y59"/>
    <mergeCell ref="AB12:AB13"/>
    <mergeCell ref="AA12:AA13"/>
    <mergeCell ref="Z12:Z13"/>
    <mergeCell ref="A18:Y18"/>
    <mergeCell ref="A19:Y19"/>
    <mergeCell ref="A23:Y23"/>
    <mergeCell ref="A1:AB1"/>
    <mergeCell ref="A14:Y14"/>
    <mergeCell ref="A17:Y17"/>
    <mergeCell ref="A4:AB4"/>
    <mergeCell ref="A5:AB5"/>
    <mergeCell ref="A6:AB6"/>
    <mergeCell ref="A7:AB7"/>
    <mergeCell ref="A16:Y16"/>
    <mergeCell ref="Z11:AB11"/>
    <mergeCell ref="A15:Y15"/>
    <mergeCell ref="S80:S81"/>
    <mergeCell ref="T80:T81"/>
    <mergeCell ref="Z83:Z84"/>
    <mergeCell ref="AA83:AA84"/>
    <mergeCell ref="AB83:AB84"/>
    <mergeCell ref="Z80:Z81"/>
    <mergeCell ref="H80:H81"/>
    <mergeCell ref="J80:J81"/>
    <mergeCell ref="Y83:Y84"/>
    <mergeCell ref="X83:X84"/>
    <mergeCell ref="A34:Y34"/>
    <mergeCell ref="A35:Y35"/>
    <mergeCell ref="K83:K84"/>
    <mergeCell ref="P83:P84"/>
    <mergeCell ref="O83:O84"/>
    <mergeCell ref="S83:S84"/>
    <mergeCell ref="L83:L84"/>
    <mergeCell ref="U83:U84"/>
    <mergeCell ref="T83:T84"/>
    <mergeCell ref="W83:W84"/>
    <mergeCell ref="M83:M84"/>
    <mergeCell ref="H83:H84"/>
    <mergeCell ref="I83:I84"/>
    <mergeCell ref="J83:J84"/>
  </mergeCells>
  <phoneticPr fontId="0" type="noConversion"/>
  <printOptions horizontalCentered="1"/>
  <pageMargins left="0.5" right="0.4" top="0.5" bottom="0.25" header="0" footer="0"/>
  <pageSetup scale="53" firstPageNumber="8" fitToHeight="0" orientation="landscape" useFirstPageNumber="1" horizontalDpi="300" verticalDpi="300" r:id="rId1"/>
  <headerFooter alignWithMargins="0">
    <oddFooter>&amp;C&amp;"Times New Roman,Regular"Exhibit B - Summary of Requirements</oddFooter>
  </headerFooter>
  <rowBreaks count="1" manualBreakCount="1">
    <brk id="62" max="33"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P22"/>
  <sheetViews>
    <sheetView view="pageBreakPreview" zoomScale="90" zoomScaleNormal="100" zoomScaleSheetLayoutView="90" workbookViewId="0">
      <selection activeCell="O22" sqref="O22"/>
    </sheetView>
  </sheetViews>
  <sheetFormatPr defaultColWidth="7.21875" defaultRowHeight="12.75"/>
  <cols>
    <col min="1" max="1" width="27.21875" style="42" customWidth="1"/>
    <col min="2" max="2" width="15.88671875" style="42" customWidth="1"/>
    <col min="3" max="3" width="4.6640625" style="42" customWidth="1"/>
    <col min="4" max="4" width="7.5546875" style="42" customWidth="1"/>
    <col min="5" max="5" width="4.6640625" style="42" customWidth="1"/>
    <col min="6" max="6" width="7.21875" style="42" customWidth="1"/>
    <col min="7" max="7" width="4.6640625" style="42" customWidth="1"/>
    <col min="8" max="8" width="7.44140625" style="42" customWidth="1"/>
    <col min="9" max="9" width="4.6640625" style="42" customWidth="1"/>
    <col min="10" max="10" width="7.21875" style="42" customWidth="1"/>
    <col min="11" max="11" width="4.6640625" style="42" customWidth="1"/>
    <col min="12" max="12" width="7.21875" style="42" customWidth="1"/>
    <col min="13" max="13" width="4.6640625" style="42" customWidth="1"/>
    <col min="14" max="14" width="7.88671875" style="42" customWidth="1"/>
    <col min="15" max="15" width="11.21875" style="42" customWidth="1"/>
    <col min="16" max="16" width="1.109375" style="201" customWidth="1"/>
    <col min="17" max="16384" width="7.21875" style="42"/>
  </cols>
  <sheetData>
    <row r="1" spans="1:16" ht="20.25">
      <c r="A1" s="495" t="s">
        <v>52</v>
      </c>
      <c r="B1" s="496"/>
      <c r="C1" s="496"/>
      <c r="D1" s="496"/>
      <c r="E1" s="496"/>
      <c r="F1" s="496"/>
      <c r="G1" s="496"/>
      <c r="H1" s="496"/>
      <c r="I1" s="496"/>
      <c r="J1" s="496"/>
      <c r="K1" s="496"/>
      <c r="L1" s="496"/>
      <c r="M1" s="496"/>
      <c r="N1" s="496"/>
      <c r="O1" s="496"/>
      <c r="P1" s="200" t="s">
        <v>1</v>
      </c>
    </row>
    <row r="2" spans="1:16" ht="20.25">
      <c r="A2" s="39"/>
      <c r="P2" s="200" t="s">
        <v>1</v>
      </c>
    </row>
    <row r="3" spans="1:16">
      <c r="P3" s="200" t="s">
        <v>1</v>
      </c>
    </row>
    <row r="4" spans="1:16" ht="23.25">
      <c r="A4" s="598" t="s">
        <v>161</v>
      </c>
      <c r="B4" s="599"/>
      <c r="C4" s="599"/>
      <c r="D4" s="599"/>
      <c r="E4" s="599"/>
      <c r="F4" s="599"/>
      <c r="G4" s="599"/>
      <c r="H4" s="599"/>
      <c r="I4" s="599"/>
      <c r="J4" s="599"/>
      <c r="K4" s="599"/>
      <c r="L4" s="599"/>
      <c r="M4" s="599"/>
      <c r="N4" s="599"/>
      <c r="O4" s="599"/>
      <c r="P4" s="200" t="s">
        <v>1</v>
      </c>
    </row>
    <row r="5" spans="1:16" ht="23.25">
      <c r="A5" s="600" t="str">
        <f>'B. Summary of Requirements '!A65</f>
        <v>Bureau of Alcohol, Tobacco, Firearms and Explosives</v>
      </c>
      <c r="B5" s="601"/>
      <c r="C5" s="601"/>
      <c r="D5" s="601"/>
      <c r="E5" s="601"/>
      <c r="F5" s="601"/>
      <c r="G5" s="601"/>
      <c r="H5" s="601"/>
      <c r="I5" s="601"/>
      <c r="J5" s="601"/>
      <c r="K5" s="601"/>
      <c r="L5" s="601"/>
      <c r="M5" s="601"/>
      <c r="N5" s="601"/>
      <c r="O5" s="601"/>
      <c r="P5" s="200" t="s">
        <v>1</v>
      </c>
    </row>
    <row r="6" spans="1:16" ht="23.25">
      <c r="A6" s="602" t="s">
        <v>204</v>
      </c>
      <c r="B6" s="599"/>
      <c r="C6" s="599"/>
      <c r="D6" s="599"/>
      <c r="E6" s="599"/>
      <c r="F6" s="599"/>
      <c r="G6" s="599"/>
      <c r="H6" s="599"/>
      <c r="I6" s="599"/>
      <c r="J6" s="599"/>
      <c r="K6" s="599"/>
      <c r="L6" s="599"/>
      <c r="M6" s="599"/>
      <c r="N6" s="599"/>
      <c r="O6" s="599"/>
      <c r="P6" s="200" t="s">
        <v>1</v>
      </c>
    </row>
    <row r="7" spans="1:16">
      <c r="A7" s="133"/>
      <c r="B7" s="46"/>
      <c r="C7" s="46"/>
      <c r="D7" s="46"/>
      <c r="E7" s="46"/>
      <c r="F7" s="46"/>
      <c r="G7" s="46"/>
      <c r="H7" s="46"/>
      <c r="I7" s="46"/>
      <c r="J7" s="46"/>
      <c r="K7" s="46"/>
      <c r="L7" s="46"/>
      <c r="M7" s="46"/>
      <c r="N7" s="46"/>
      <c r="O7" s="46"/>
      <c r="P7" s="200" t="s">
        <v>1</v>
      </c>
    </row>
    <row r="8" spans="1:16">
      <c r="P8" s="200" t="s">
        <v>1</v>
      </c>
    </row>
    <row r="9" spans="1:16" ht="15">
      <c r="A9" s="608" t="s">
        <v>178</v>
      </c>
      <c r="B9" s="603" t="s">
        <v>38</v>
      </c>
      <c r="C9" s="605" t="s">
        <v>254</v>
      </c>
      <c r="D9" s="606"/>
      <c r="E9" s="606"/>
      <c r="F9" s="607"/>
      <c r="G9" s="605" t="s">
        <v>255</v>
      </c>
      <c r="H9" s="606"/>
      <c r="I9" s="606"/>
      <c r="J9" s="607"/>
      <c r="K9" s="605" t="s">
        <v>256</v>
      </c>
      <c r="L9" s="606"/>
      <c r="M9" s="606"/>
      <c r="N9" s="607"/>
      <c r="O9" s="603" t="s">
        <v>46</v>
      </c>
      <c r="P9" s="200" t="s">
        <v>1</v>
      </c>
    </row>
    <row r="10" spans="1:16">
      <c r="A10" s="609"/>
      <c r="B10" s="604"/>
      <c r="C10" s="49" t="s">
        <v>225</v>
      </c>
      <c r="D10" s="49" t="s">
        <v>20</v>
      </c>
      <c r="E10" s="49" t="s">
        <v>85</v>
      </c>
      <c r="F10" s="50" t="s">
        <v>227</v>
      </c>
      <c r="G10" s="49" t="s">
        <v>225</v>
      </c>
      <c r="H10" s="49" t="s">
        <v>20</v>
      </c>
      <c r="I10" s="49" t="s">
        <v>85</v>
      </c>
      <c r="J10" s="50" t="s">
        <v>227</v>
      </c>
      <c r="K10" s="49" t="s">
        <v>225</v>
      </c>
      <c r="L10" s="49" t="s">
        <v>20</v>
      </c>
      <c r="M10" s="49" t="s">
        <v>85</v>
      </c>
      <c r="N10" s="50" t="s">
        <v>227</v>
      </c>
      <c r="O10" s="604"/>
      <c r="P10" s="200" t="s">
        <v>1</v>
      </c>
    </row>
    <row r="11" spans="1:16" ht="18.75" customHeight="1">
      <c r="A11" s="149" t="s">
        <v>275</v>
      </c>
      <c r="B11" s="378" t="s">
        <v>254</v>
      </c>
      <c r="C11" s="379">
        <v>37</v>
      </c>
      <c r="D11" s="380">
        <v>25</v>
      </c>
      <c r="E11" s="380">
        <v>37</v>
      </c>
      <c r="F11" s="247">
        <v>11815</v>
      </c>
      <c r="G11" s="379">
        <v>0</v>
      </c>
      <c r="H11" s="380">
        <v>0</v>
      </c>
      <c r="I11" s="380">
        <v>0</v>
      </c>
      <c r="J11" s="247">
        <v>0</v>
      </c>
      <c r="K11" s="379">
        <v>0</v>
      </c>
      <c r="L11" s="380">
        <v>0</v>
      </c>
      <c r="M11" s="380">
        <v>0</v>
      </c>
      <c r="N11" s="247">
        <v>0</v>
      </c>
      <c r="O11" s="247">
        <f>+F11+J11+N11</f>
        <v>11815</v>
      </c>
      <c r="P11" s="200" t="s">
        <v>1</v>
      </c>
    </row>
    <row r="12" spans="1:16" ht="18.75" customHeight="1">
      <c r="A12" s="149" t="s">
        <v>276</v>
      </c>
      <c r="B12" s="378" t="s">
        <v>277</v>
      </c>
      <c r="C12" s="379">
        <v>5</v>
      </c>
      <c r="D12" s="380">
        <v>3</v>
      </c>
      <c r="E12" s="380">
        <v>3</v>
      </c>
      <c r="F12" s="247">
        <v>884</v>
      </c>
      <c r="G12" s="379">
        <v>2</v>
      </c>
      <c r="H12" s="380">
        <v>0</v>
      </c>
      <c r="I12" s="380">
        <v>0</v>
      </c>
      <c r="J12" s="247">
        <v>320</v>
      </c>
      <c r="K12" s="379">
        <v>0</v>
      </c>
      <c r="L12" s="380">
        <v>0</v>
      </c>
      <c r="M12" s="380">
        <v>0</v>
      </c>
      <c r="N12" s="247">
        <v>24</v>
      </c>
      <c r="O12" s="247">
        <f>+F12+J12+N12</f>
        <v>1228</v>
      </c>
      <c r="P12" s="200" t="s">
        <v>1</v>
      </c>
    </row>
    <row r="13" spans="1:16" ht="18.75" customHeight="1">
      <c r="A13" s="56" t="s">
        <v>218</v>
      </c>
      <c r="B13" s="48"/>
      <c r="C13" s="220">
        <f t="shared" ref="C13:O13" si="0">SUM(C11:C12)</f>
        <v>42</v>
      </c>
      <c r="D13" s="221">
        <f t="shared" si="0"/>
        <v>28</v>
      </c>
      <c r="E13" s="221">
        <f t="shared" si="0"/>
        <v>40</v>
      </c>
      <c r="F13" s="52">
        <f t="shared" si="0"/>
        <v>12699</v>
      </c>
      <c r="G13" s="220">
        <f t="shared" si="0"/>
        <v>2</v>
      </c>
      <c r="H13" s="221">
        <f t="shared" si="0"/>
        <v>0</v>
      </c>
      <c r="I13" s="221">
        <f t="shared" si="0"/>
        <v>0</v>
      </c>
      <c r="J13" s="52">
        <f t="shared" si="0"/>
        <v>320</v>
      </c>
      <c r="K13" s="220">
        <f t="shared" si="0"/>
        <v>0</v>
      </c>
      <c r="L13" s="221">
        <f t="shared" si="0"/>
        <v>0</v>
      </c>
      <c r="M13" s="221">
        <f t="shared" si="0"/>
        <v>0</v>
      </c>
      <c r="N13" s="52">
        <f t="shared" si="0"/>
        <v>24</v>
      </c>
      <c r="O13" s="53">
        <f t="shared" si="0"/>
        <v>13043</v>
      </c>
      <c r="P13" s="200" t="s">
        <v>1</v>
      </c>
    </row>
    <row r="14" spans="1:16" ht="18.75" customHeight="1">
      <c r="A14" s="54"/>
      <c r="B14" s="90"/>
      <c r="C14" s="54"/>
      <c r="D14" s="51"/>
      <c r="E14" s="51"/>
      <c r="F14" s="55"/>
      <c r="G14" s="51"/>
      <c r="H14" s="51"/>
      <c r="I14" s="51"/>
      <c r="J14" s="51"/>
      <c r="K14" s="54"/>
      <c r="L14" s="51"/>
      <c r="M14" s="51"/>
      <c r="N14" s="55"/>
      <c r="O14" s="55"/>
      <c r="P14" s="200" t="s">
        <v>1</v>
      </c>
    </row>
    <row r="15" spans="1:16" ht="18.75" customHeight="1">
      <c r="A15" s="596" t="s">
        <v>22</v>
      </c>
      <c r="B15" s="603" t="s">
        <v>38</v>
      </c>
      <c r="C15" s="605" t="s">
        <v>254</v>
      </c>
      <c r="D15" s="606"/>
      <c r="E15" s="606"/>
      <c r="F15" s="607"/>
      <c r="G15" s="605" t="s">
        <v>255</v>
      </c>
      <c r="H15" s="606"/>
      <c r="I15" s="606"/>
      <c r="J15" s="607"/>
      <c r="K15" s="605" t="s">
        <v>256</v>
      </c>
      <c r="L15" s="606"/>
      <c r="M15" s="606"/>
      <c r="N15" s="607"/>
      <c r="O15" s="603" t="s">
        <v>207</v>
      </c>
      <c r="P15" s="200" t="s">
        <v>1</v>
      </c>
    </row>
    <row r="16" spans="1:16" ht="18.75" customHeight="1">
      <c r="A16" s="597"/>
      <c r="B16" s="604"/>
      <c r="C16" s="49" t="s">
        <v>225</v>
      </c>
      <c r="D16" s="49" t="s">
        <v>20</v>
      </c>
      <c r="E16" s="49" t="s">
        <v>85</v>
      </c>
      <c r="F16" s="50" t="s">
        <v>227</v>
      </c>
      <c r="G16" s="49" t="s">
        <v>225</v>
      </c>
      <c r="H16" s="49" t="s">
        <v>20</v>
      </c>
      <c r="I16" s="49" t="s">
        <v>85</v>
      </c>
      <c r="J16" s="50" t="s">
        <v>227</v>
      </c>
      <c r="K16" s="49" t="s">
        <v>225</v>
      </c>
      <c r="L16" s="49" t="s">
        <v>20</v>
      </c>
      <c r="M16" s="49" t="s">
        <v>85</v>
      </c>
      <c r="N16" s="50" t="s">
        <v>227</v>
      </c>
      <c r="O16" s="604"/>
      <c r="P16" s="200" t="s">
        <v>1</v>
      </c>
    </row>
    <row r="17" spans="1:16" ht="18.75" customHeight="1">
      <c r="A17" s="149" t="s">
        <v>334</v>
      </c>
      <c r="B17" s="378" t="s">
        <v>277</v>
      </c>
      <c r="C17" s="218">
        <v>0</v>
      </c>
      <c r="D17" s="219">
        <v>0</v>
      </c>
      <c r="E17" s="219">
        <v>0</v>
      </c>
      <c r="F17" s="247">
        <v>-653</v>
      </c>
      <c r="G17" s="379">
        <v>0</v>
      </c>
      <c r="H17" s="380">
        <v>0</v>
      </c>
      <c r="I17" s="380">
        <v>0</v>
      </c>
      <c r="J17" s="247">
        <v>-236</v>
      </c>
      <c r="K17" s="379">
        <v>0</v>
      </c>
      <c r="L17" s="380">
        <v>0</v>
      </c>
      <c r="M17" s="380">
        <v>0</v>
      </c>
      <c r="N17" s="247">
        <v>-18</v>
      </c>
      <c r="O17" s="247">
        <f>+F17+J17++N17</f>
        <v>-907</v>
      </c>
      <c r="P17" s="200" t="s">
        <v>1</v>
      </c>
    </row>
    <row r="18" spans="1:16" ht="18.75" customHeight="1">
      <c r="A18" s="311" t="s">
        <v>207</v>
      </c>
      <c r="B18" s="312"/>
      <c r="C18" s="313">
        <f t="shared" ref="C18:O18" si="1">SUM(C17:C17)</f>
        <v>0</v>
      </c>
      <c r="D18" s="314">
        <f t="shared" si="1"/>
        <v>0</v>
      </c>
      <c r="E18" s="314">
        <f t="shared" si="1"/>
        <v>0</v>
      </c>
      <c r="F18" s="315">
        <f t="shared" si="1"/>
        <v>-653</v>
      </c>
      <c r="G18" s="313">
        <f t="shared" si="1"/>
        <v>0</v>
      </c>
      <c r="H18" s="314">
        <f t="shared" si="1"/>
        <v>0</v>
      </c>
      <c r="I18" s="314">
        <f t="shared" si="1"/>
        <v>0</v>
      </c>
      <c r="J18" s="315">
        <f t="shared" si="1"/>
        <v>-236</v>
      </c>
      <c r="K18" s="313">
        <f t="shared" si="1"/>
        <v>0</v>
      </c>
      <c r="L18" s="314">
        <f t="shared" si="1"/>
        <v>0</v>
      </c>
      <c r="M18" s="314">
        <f t="shared" si="1"/>
        <v>0</v>
      </c>
      <c r="N18" s="315">
        <f t="shared" si="1"/>
        <v>-18</v>
      </c>
      <c r="O18" s="316">
        <f t="shared" si="1"/>
        <v>-907</v>
      </c>
      <c r="P18" s="200" t="s">
        <v>41</v>
      </c>
    </row>
    <row r="19" spans="1:16" ht="18.75" customHeight="1">
      <c r="A19" s="593"/>
      <c r="B19" s="594"/>
      <c r="C19" s="594"/>
      <c r="D19" s="594"/>
      <c r="E19" s="594"/>
      <c r="F19" s="594"/>
      <c r="G19" s="594"/>
      <c r="H19" s="594"/>
      <c r="I19" s="594"/>
      <c r="J19" s="594"/>
      <c r="K19" s="594"/>
      <c r="L19" s="594"/>
      <c r="M19" s="594"/>
      <c r="N19" s="594"/>
      <c r="O19" s="595"/>
      <c r="P19" s="200"/>
    </row>
    <row r="20" spans="1:16" ht="18.75" customHeight="1">
      <c r="A20" s="134"/>
      <c r="B20" s="119"/>
      <c r="C20" s="119"/>
      <c r="D20" s="119"/>
      <c r="E20" s="119"/>
      <c r="F20" s="119"/>
      <c r="G20" s="119"/>
      <c r="H20" s="119"/>
      <c r="I20" s="119"/>
      <c r="J20" s="119"/>
      <c r="K20" s="119"/>
      <c r="L20" s="119"/>
      <c r="M20" s="119"/>
      <c r="N20" s="119"/>
      <c r="O20" s="119"/>
      <c r="P20" s="200"/>
    </row>
    <row r="21" spans="1:16" ht="18.75" customHeight="1">
      <c r="F21" s="461"/>
      <c r="J21" s="461"/>
      <c r="N21" s="461"/>
      <c r="P21" s="200"/>
    </row>
    <row r="22" spans="1:16">
      <c r="A22" s="155"/>
      <c r="B22" s="155"/>
      <c r="C22" s="155"/>
      <c r="D22" s="155"/>
      <c r="E22" s="155"/>
      <c r="F22" s="155"/>
      <c r="G22" s="155"/>
      <c r="H22" s="155"/>
      <c r="I22" s="155"/>
      <c r="J22" s="155"/>
      <c r="K22" s="155"/>
      <c r="L22" s="155"/>
      <c r="M22" s="155"/>
    </row>
  </sheetData>
  <mergeCells count="17">
    <mergeCell ref="K15:N15"/>
    <mergeCell ref="A9:A10"/>
    <mergeCell ref="C9:F9"/>
    <mergeCell ref="B9:B10"/>
    <mergeCell ref="G9:J9"/>
    <mergeCell ref="C15:F15"/>
    <mergeCell ref="B15:B16"/>
    <mergeCell ref="A19:O19"/>
    <mergeCell ref="A15:A16"/>
    <mergeCell ref="A1:O1"/>
    <mergeCell ref="A4:O4"/>
    <mergeCell ref="A5:O5"/>
    <mergeCell ref="A6:O6"/>
    <mergeCell ref="O9:O10"/>
    <mergeCell ref="O15:O16"/>
    <mergeCell ref="G15:J15"/>
    <mergeCell ref="K9:N9"/>
  </mergeCells>
  <phoneticPr fontId="26" type="noConversion"/>
  <printOptions horizontalCentered="1"/>
  <pageMargins left="0.75" right="0.75" top="1" bottom="1" header="0.5" footer="0.5"/>
  <pageSetup scale="79"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Q43"/>
  <sheetViews>
    <sheetView view="pageBreakPreview" zoomScale="75" zoomScaleNormal="100" zoomScaleSheetLayoutView="75" workbookViewId="0">
      <selection activeCell="F11" sqref="F11"/>
    </sheetView>
  </sheetViews>
  <sheetFormatPr defaultColWidth="7.21875" defaultRowHeight="12.75"/>
  <cols>
    <col min="1" max="1" width="49.5546875" style="43" customWidth="1"/>
    <col min="2" max="2" width="10.77734375" style="43" customWidth="1"/>
    <col min="3" max="3" width="11" style="43" customWidth="1"/>
    <col min="4" max="5" width="11.21875" style="43" customWidth="1"/>
    <col min="6" max="6" width="7.21875" style="43" customWidth="1"/>
    <col min="7" max="7" width="10" style="43" bestFit="1" customWidth="1"/>
    <col min="8" max="8" width="6.77734375" style="43" customWidth="1"/>
    <col min="9" max="9" width="7.5546875" style="43" bestFit="1" customWidth="1"/>
    <col min="10" max="10" width="6.77734375" style="43" customWidth="1"/>
    <col min="11" max="11" width="7.21875" style="43" customWidth="1"/>
    <col min="12" max="12" width="6.33203125" style="43" customWidth="1"/>
    <col min="13" max="13" width="10" style="43" customWidth="1"/>
    <col min="14" max="14" width="1.88671875" style="43" customWidth="1"/>
    <col min="15" max="16384" width="7.21875" style="43"/>
  </cols>
  <sheetData>
    <row r="1" spans="1:17" ht="20.25">
      <c r="A1" s="625" t="s">
        <v>51</v>
      </c>
      <c r="B1" s="626"/>
      <c r="C1" s="626"/>
      <c r="D1" s="626"/>
      <c r="E1" s="626"/>
      <c r="F1" s="626"/>
      <c r="G1" s="626"/>
      <c r="H1" s="626"/>
      <c r="I1" s="626"/>
      <c r="J1" s="626"/>
      <c r="K1" s="626"/>
      <c r="L1" s="626"/>
      <c r="M1" s="626"/>
      <c r="N1" s="181" t="s">
        <v>1</v>
      </c>
      <c r="O1" s="182"/>
      <c r="P1" s="182"/>
    </row>
    <row r="2" spans="1:17" ht="19.149999999999999" customHeight="1">
      <c r="A2" s="47"/>
      <c r="N2" s="181" t="s">
        <v>1</v>
      </c>
      <c r="Q2" s="181"/>
    </row>
    <row r="3" spans="1:17" ht="15.75">
      <c r="A3" s="627" t="s">
        <v>21</v>
      </c>
      <c r="B3" s="502"/>
      <c r="C3" s="502"/>
      <c r="D3" s="502"/>
      <c r="E3" s="502"/>
      <c r="F3" s="502"/>
      <c r="G3" s="502"/>
      <c r="H3" s="502"/>
      <c r="I3" s="502"/>
      <c r="J3" s="502"/>
      <c r="K3" s="502"/>
      <c r="L3" s="502"/>
      <c r="M3" s="502"/>
      <c r="N3" s="181" t="s">
        <v>1</v>
      </c>
      <c r="O3" s="138"/>
      <c r="P3" s="138"/>
      <c r="Q3" s="181"/>
    </row>
    <row r="4" spans="1:17" ht="15.75">
      <c r="A4" s="628" t="str">
        <f>+'B. Summary of Requirements '!A65</f>
        <v>Bureau of Alcohol, Tobacco, Firearms and Explosives</v>
      </c>
      <c r="B4" s="502"/>
      <c r="C4" s="502"/>
      <c r="D4" s="502"/>
      <c r="E4" s="502"/>
      <c r="F4" s="502"/>
      <c r="G4" s="502"/>
      <c r="H4" s="502"/>
      <c r="I4" s="502"/>
      <c r="J4" s="502"/>
      <c r="K4" s="502"/>
      <c r="L4" s="502"/>
      <c r="M4" s="502"/>
      <c r="N4" s="181" t="s">
        <v>1</v>
      </c>
      <c r="O4" s="135"/>
      <c r="P4" s="135"/>
    </row>
    <row r="5" spans="1:17" ht="15">
      <c r="A5" s="629" t="s">
        <v>204</v>
      </c>
      <c r="B5" s="502"/>
      <c r="C5" s="502"/>
      <c r="D5" s="502"/>
      <c r="E5" s="502"/>
      <c r="F5" s="502"/>
      <c r="G5" s="502"/>
      <c r="H5" s="502"/>
      <c r="I5" s="502"/>
      <c r="J5" s="502"/>
      <c r="K5" s="502"/>
      <c r="L5" s="502"/>
      <c r="M5" s="502"/>
      <c r="N5" s="181" t="s">
        <v>1</v>
      </c>
      <c r="O5" s="138"/>
      <c r="P5" s="138"/>
      <c r="Q5" s="181"/>
    </row>
    <row r="6" spans="1:17">
      <c r="N6" s="181" t="s">
        <v>1</v>
      </c>
      <c r="Q6" s="181"/>
    </row>
    <row r="7" spans="1:17" ht="13.5" thickBot="1">
      <c r="N7" s="181" t="s">
        <v>1</v>
      </c>
      <c r="Q7" s="181"/>
    </row>
    <row r="8" spans="1:17" ht="37.5" customHeight="1">
      <c r="A8" s="152"/>
      <c r="B8" s="610" t="str">
        <f>+'B. Summary of Requirements '!H73</f>
        <v>2009 Appropriation Enacted w/Rescissions and Supplementals</v>
      </c>
      <c r="C8" s="611"/>
      <c r="D8" s="610" t="str">
        <f>+'B. Summary of Requirements '!K73</f>
        <v>2010 Enacted</v>
      </c>
      <c r="E8" s="611"/>
      <c r="F8" s="618" t="str">
        <f>+'B. Summary of Requirements '!Q73</f>
        <v>2011 Current Services</v>
      </c>
      <c r="G8" s="611"/>
      <c r="H8" s="622">
        <v>2011</v>
      </c>
      <c r="I8" s="623"/>
      <c r="J8" s="623"/>
      <c r="K8" s="624"/>
      <c r="L8" s="618" t="str">
        <f>+'B. Summary of Requirements '!Z73</f>
        <v>2011 Request</v>
      </c>
      <c r="M8" s="611"/>
      <c r="N8" s="181" t="s">
        <v>1</v>
      </c>
      <c r="P8" s="160"/>
      <c r="Q8" s="181"/>
    </row>
    <row r="9" spans="1:17" ht="14.25" customHeight="1">
      <c r="A9" s="57"/>
      <c r="B9" s="542"/>
      <c r="C9" s="612"/>
      <c r="D9" s="529"/>
      <c r="E9" s="546"/>
      <c r="F9" s="529"/>
      <c r="G9" s="546"/>
      <c r="H9" s="620" t="s">
        <v>228</v>
      </c>
      <c r="I9" s="621"/>
      <c r="J9" s="619" t="s">
        <v>231</v>
      </c>
      <c r="K9" s="607"/>
      <c r="L9" s="529"/>
      <c r="M9" s="546"/>
      <c r="N9" s="181" t="s">
        <v>1</v>
      </c>
      <c r="P9" s="160"/>
      <c r="Q9" s="181"/>
    </row>
    <row r="10" spans="1:17" hidden="1">
      <c r="A10" s="616" t="s">
        <v>175</v>
      </c>
      <c r="B10" s="125"/>
      <c r="C10" s="126"/>
      <c r="D10" s="125"/>
      <c r="E10" s="126"/>
      <c r="F10" s="125"/>
      <c r="G10" s="126"/>
      <c r="H10" s="125"/>
      <c r="I10" s="126"/>
      <c r="J10" s="156"/>
      <c r="K10" s="126"/>
      <c r="L10" s="125"/>
      <c r="M10" s="126"/>
      <c r="N10" s="181" t="s">
        <v>1</v>
      </c>
      <c r="P10" s="156"/>
      <c r="Q10" s="181"/>
    </row>
    <row r="11" spans="1:17" ht="51">
      <c r="A11" s="617"/>
      <c r="B11" s="167" t="s">
        <v>30</v>
      </c>
      <c r="C11" s="168" t="s">
        <v>31</v>
      </c>
      <c r="D11" s="167" t="s">
        <v>30</v>
      </c>
      <c r="E11" s="168" t="s">
        <v>31</v>
      </c>
      <c r="F11" s="167" t="s">
        <v>30</v>
      </c>
      <c r="G11" s="168" t="s">
        <v>31</v>
      </c>
      <c r="H11" s="167" t="s">
        <v>30</v>
      </c>
      <c r="I11" s="168" t="s">
        <v>31</v>
      </c>
      <c r="J11" s="167" t="s">
        <v>30</v>
      </c>
      <c r="K11" s="168" t="s">
        <v>31</v>
      </c>
      <c r="L11" s="167" t="s">
        <v>30</v>
      </c>
      <c r="M11" s="168" t="s">
        <v>31</v>
      </c>
      <c r="N11" s="181" t="s">
        <v>1</v>
      </c>
      <c r="P11" s="161"/>
      <c r="Q11" s="181"/>
    </row>
    <row r="12" spans="1:17">
      <c r="A12" s="169"/>
      <c r="B12" s="222"/>
      <c r="C12" s="223"/>
      <c r="D12" s="222"/>
      <c r="E12" s="223"/>
      <c r="F12" s="222"/>
      <c r="G12" s="223"/>
      <c r="H12" s="222"/>
      <c r="I12" s="224"/>
      <c r="J12" s="307"/>
      <c r="K12" s="223"/>
      <c r="L12" s="222"/>
      <c r="M12" s="223"/>
      <c r="N12" s="181" t="s">
        <v>1</v>
      </c>
      <c r="P12" s="157"/>
      <c r="Q12" s="181"/>
    </row>
    <row r="13" spans="1:17">
      <c r="A13" s="60" t="s">
        <v>24</v>
      </c>
      <c r="B13" s="222"/>
      <c r="C13" s="305"/>
      <c r="D13" s="222"/>
      <c r="E13" s="305"/>
      <c r="F13" s="222"/>
      <c r="G13" s="305"/>
      <c r="H13" s="222"/>
      <c r="I13" s="224"/>
      <c r="J13" s="222"/>
      <c r="K13" s="305"/>
      <c r="L13" s="222"/>
      <c r="M13" s="305"/>
      <c r="N13" s="181" t="s">
        <v>1</v>
      </c>
      <c r="P13" s="162"/>
      <c r="Q13" s="181"/>
    </row>
    <row r="14" spans="1:17">
      <c r="A14" s="170" t="s">
        <v>60</v>
      </c>
      <c r="B14" s="222"/>
      <c r="C14" s="305"/>
      <c r="D14" s="222"/>
      <c r="E14" s="305"/>
      <c r="F14" s="222"/>
      <c r="G14" s="305"/>
      <c r="H14" s="222"/>
      <c r="I14" s="224"/>
      <c r="J14" s="222"/>
      <c r="K14" s="305"/>
      <c r="L14" s="222">
        <f t="shared" ref="L14:M17" si="0">+F14+H14+J14</f>
        <v>0</v>
      </c>
      <c r="M14" s="223">
        <f t="shared" si="0"/>
        <v>0</v>
      </c>
      <c r="N14" s="181" t="s">
        <v>1</v>
      </c>
      <c r="P14" s="162"/>
      <c r="Q14" s="181"/>
    </row>
    <row r="15" spans="1:17" ht="25.5">
      <c r="A15" s="171" t="s">
        <v>61</v>
      </c>
      <c r="B15" s="381">
        <f>2005</f>
        <v>2005</v>
      </c>
      <c r="C15" s="382">
        <f>421686+4000+5600</f>
        <v>431286</v>
      </c>
      <c r="D15" s="381">
        <v>2032</v>
      </c>
      <c r="E15" s="382">
        <v>445909</v>
      </c>
      <c r="F15" s="381">
        <v>2050</v>
      </c>
      <c r="G15" s="382">
        <v>460340</v>
      </c>
      <c r="H15" s="381">
        <v>20</v>
      </c>
      <c r="I15" s="383">
        <v>5217</v>
      </c>
      <c r="J15" s="381"/>
      <c r="K15" s="306">
        <v>-363</v>
      </c>
      <c r="L15" s="222">
        <f t="shared" si="0"/>
        <v>2070</v>
      </c>
      <c r="M15" s="384">
        <v>465194</v>
      </c>
      <c r="N15" s="181" t="s">
        <v>1</v>
      </c>
      <c r="P15" s="162"/>
      <c r="Q15" s="181"/>
    </row>
    <row r="16" spans="1:17" ht="25.5">
      <c r="A16" s="171" t="s">
        <v>36</v>
      </c>
      <c r="B16" s="222"/>
      <c r="C16" s="305"/>
      <c r="D16" s="222"/>
      <c r="E16" s="305"/>
      <c r="F16" s="222"/>
      <c r="G16" s="305"/>
      <c r="H16" s="222"/>
      <c r="I16" s="224"/>
      <c r="J16" s="222"/>
      <c r="K16" s="305"/>
      <c r="L16" s="222">
        <f t="shared" si="0"/>
        <v>0</v>
      </c>
      <c r="M16" s="223">
        <f t="shared" si="0"/>
        <v>0</v>
      </c>
      <c r="N16" s="181" t="s">
        <v>1</v>
      </c>
      <c r="P16" s="162"/>
      <c r="Q16" s="181"/>
    </row>
    <row r="17" spans="1:17" ht="13.5" customHeight="1">
      <c r="A17" s="170" t="s">
        <v>62</v>
      </c>
      <c r="B17" s="227"/>
      <c r="C17" s="228"/>
      <c r="D17" s="227"/>
      <c r="E17" s="228"/>
      <c r="F17" s="227"/>
      <c r="G17" s="228"/>
      <c r="H17" s="227"/>
      <c r="I17" s="229"/>
      <c r="J17" s="227"/>
      <c r="K17" s="228"/>
      <c r="L17" s="227">
        <f t="shared" si="0"/>
        <v>0</v>
      </c>
      <c r="M17" s="228">
        <f t="shared" si="0"/>
        <v>0</v>
      </c>
      <c r="N17" s="181" t="s">
        <v>1</v>
      </c>
      <c r="P17" s="158"/>
      <c r="Q17" s="181"/>
    </row>
    <row r="18" spans="1:17" s="44" customFormat="1">
      <c r="A18" s="62" t="s">
        <v>25</v>
      </c>
      <c r="B18" s="231">
        <f>SUM(B14:B17)</f>
        <v>2005</v>
      </c>
      <c r="C18" s="232">
        <f>SUM(C14:C17)</f>
        <v>431286</v>
      </c>
      <c r="D18" s="231">
        <f>SUM(D14:D17)</f>
        <v>2032</v>
      </c>
      <c r="E18" s="232">
        <f>SUM(E14:E17)</f>
        <v>445909</v>
      </c>
      <c r="F18" s="231">
        <f t="shared" ref="F18:M18" si="1">SUM(F14:F17)</f>
        <v>2050</v>
      </c>
      <c r="G18" s="232">
        <f t="shared" si="1"/>
        <v>460340</v>
      </c>
      <c r="H18" s="231">
        <f t="shared" si="1"/>
        <v>20</v>
      </c>
      <c r="I18" s="232">
        <f t="shared" si="1"/>
        <v>5217</v>
      </c>
      <c r="J18" s="231">
        <f t="shared" si="1"/>
        <v>0</v>
      </c>
      <c r="K18" s="232">
        <f t="shared" si="1"/>
        <v>-363</v>
      </c>
      <c r="L18" s="231">
        <f t="shared" si="1"/>
        <v>2070</v>
      </c>
      <c r="M18" s="232">
        <f t="shared" si="1"/>
        <v>465194</v>
      </c>
      <c r="N18" s="181" t="s">
        <v>1</v>
      </c>
      <c r="O18" s="43"/>
      <c r="P18" s="163"/>
      <c r="Q18" s="181"/>
    </row>
    <row r="19" spans="1:17">
      <c r="A19" s="58"/>
      <c r="B19" s="222"/>
      <c r="C19" s="223"/>
      <c r="D19" s="222"/>
      <c r="E19" s="223"/>
      <c r="F19" s="222"/>
      <c r="G19" s="223"/>
      <c r="H19" s="222"/>
      <c r="I19" s="224"/>
      <c r="J19" s="222"/>
      <c r="K19" s="223"/>
      <c r="L19" s="222"/>
      <c r="M19" s="223"/>
      <c r="N19" s="181" t="s">
        <v>1</v>
      </c>
      <c r="P19" s="157"/>
      <c r="Q19" s="181"/>
    </row>
    <row r="20" spans="1:17" ht="25.5">
      <c r="A20" s="61" t="s">
        <v>58</v>
      </c>
      <c r="B20" s="222"/>
      <c r="C20" s="223"/>
      <c r="D20" s="222"/>
      <c r="E20" s="223"/>
      <c r="F20" s="222"/>
      <c r="G20" s="223"/>
      <c r="H20" s="222"/>
      <c r="I20" s="224"/>
      <c r="J20" s="222"/>
      <c r="K20" s="223"/>
      <c r="L20" s="225"/>
      <c r="M20" s="226"/>
      <c r="N20" s="181" t="s">
        <v>1</v>
      </c>
      <c r="P20" s="157"/>
      <c r="Q20" s="181"/>
    </row>
    <row r="21" spans="1:17" ht="25.5">
      <c r="A21" s="171" t="s">
        <v>63</v>
      </c>
      <c r="B21" s="222"/>
      <c r="C21" s="223"/>
      <c r="D21" s="222"/>
      <c r="E21" s="223"/>
      <c r="F21" s="222"/>
      <c r="G21" s="223"/>
      <c r="H21" s="222"/>
      <c r="I21" s="224"/>
      <c r="J21" s="222"/>
      <c r="K21" s="223"/>
      <c r="L21" s="222">
        <f t="shared" ref="L21:M28" si="2">+F21+H21+J21</f>
        <v>0</v>
      </c>
      <c r="M21" s="223">
        <f t="shared" si="2"/>
        <v>0</v>
      </c>
      <c r="N21" s="181" t="s">
        <v>1</v>
      </c>
      <c r="P21" s="157"/>
      <c r="Q21" s="181"/>
    </row>
    <row r="22" spans="1:17">
      <c r="A22" s="170" t="s">
        <v>64</v>
      </c>
      <c r="B22" s="381">
        <f>3007</f>
        <v>3007</v>
      </c>
      <c r="C22" s="382">
        <f>632529+6000+8400</f>
        <v>646929</v>
      </c>
      <c r="D22" s="381">
        <v>3048</v>
      </c>
      <c r="E22" s="382">
        <v>668863</v>
      </c>
      <c r="F22" s="381">
        <v>3076</v>
      </c>
      <c r="G22" s="382">
        <v>690510</v>
      </c>
      <c r="H22" s="381">
        <v>29</v>
      </c>
      <c r="I22" s="382">
        <v>7826</v>
      </c>
      <c r="J22" s="59"/>
      <c r="K22" s="306">
        <v>-544</v>
      </c>
      <c r="L22" s="222">
        <f t="shared" si="2"/>
        <v>3105</v>
      </c>
      <c r="M22" s="384">
        <v>697792</v>
      </c>
      <c r="N22" s="181" t="s">
        <v>1</v>
      </c>
      <c r="P22" s="157"/>
      <c r="Q22" s="181"/>
    </row>
    <row r="23" spans="1:17">
      <c r="A23" s="170" t="s">
        <v>65</v>
      </c>
      <c r="B23" s="222"/>
      <c r="C23" s="223"/>
      <c r="D23" s="222"/>
      <c r="E23" s="223"/>
      <c r="F23" s="222"/>
      <c r="G23" s="223"/>
      <c r="H23" s="222"/>
      <c r="I23" s="224"/>
      <c r="J23" s="222"/>
      <c r="K23" s="223"/>
      <c r="L23" s="222">
        <f t="shared" si="2"/>
        <v>0</v>
      </c>
      <c r="M23" s="223">
        <f t="shared" si="2"/>
        <v>0</v>
      </c>
      <c r="N23" s="181" t="s">
        <v>1</v>
      </c>
      <c r="P23" s="157"/>
      <c r="Q23" s="181"/>
    </row>
    <row r="24" spans="1:17">
      <c r="A24" s="170" t="s">
        <v>66</v>
      </c>
      <c r="B24" s="222"/>
      <c r="C24" s="223"/>
      <c r="D24" s="222"/>
      <c r="E24" s="223"/>
      <c r="F24" s="222"/>
      <c r="G24" s="223"/>
      <c r="H24" s="222"/>
      <c r="I24" s="224"/>
      <c r="J24" s="222"/>
      <c r="K24" s="223"/>
      <c r="L24" s="222">
        <f t="shared" si="2"/>
        <v>0</v>
      </c>
      <c r="M24" s="223">
        <f t="shared" si="2"/>
        <v>0</v>
      </c>
      <c r="N24" s="181" t="s">
        <v>1</v>
      </c>
      <c r="P24" s="157"/>
      <c r="Q24" s="181"/>
    </row>
    <row r="25" spans="1:17" ht="25.5">
      <c r="A25" s="171" t="s">
        <v>67</v>
      </c>
      <c r="B25" s="222"/>
      <c r="C25" s="223"/>
      <c r="D25" s="222"/>
      <c r="E25" s="223"/>
      <c r="F25" s="222"/>
      <c r="G25" s="223"/>
      <c r="H25" s="222"/>
      <c r="I25" s="224"/>
      <c r="J25" s="222"/>
      <c r="K25" s="223"/>
      <c r="L25" s="222">
        <f t="shared" si="2"/>
        <v>0</v>
      </c>
      <c r="M25" s="223">
        <f t="shared" si="2"/>
        <v>0</v>
      </c>
      <c r="N25" s="181" t="s">
        <v>1</v>
      </c>
      <c r="P25" s="157"/>
      <c r="Q25" s="181"/>
    </row>
    <row r="26" spans="1:17">
      <c r="A26" s="170" t="s">
        <v>68</v>
      </c>
      <c r="B26" s="222"/>
      <c r="C26" s="223"/>
      <c r="D26" s="222"/>
      <c r="E26" s="223"/>
      <c r="F26" s="222"/>
      <c r="G26" s="223"/>
      <c r="H26" s="222"/>
      <c r="I26" s="224"/>
      <c r="J26" s="222"/>
      <c r="K26" s="223"/>
      <c r="L26" s="222">
        <f t="shared" si="2"/>
        <v>0</v>
      </c>
      <c r="M26" s="223">
        <f t="shared" si="2"/>
        <v>0</v>
      </c>
      <c r="N26" s="181" t="s">
        <v>1</v>
      </c>
      <c r="P26" s="157"/>
      <c r="Q26" s="181"/>
    </row>
    <row r="27" spans="1:17" ht="25.5">
      <c r="A27" s="171" t="s">
        <v>69</v>
      </c>
      <c r="B27" s="222"/>
      <c r="C27" s="223"/>
      <c r="D27" s="222"/>
      <c r="E27" s="223"/>
      <c r="F27" s="222"/>
      <c r="G27" s="223"/>
      <c r="H27" s="222"/>
      <c r="I27" s="224"/>
      <c r="J27" s="222"/>
      <c r="K27" s="223"/>
      <c r="L27" s="222">
        <f t="shared" si="2"/>
        <v>0</v>
      </c>
      <c r="M27" s="223">
        <f t="shared" si="2"/>
        <v>0</v>
      </c>
      <c r="N27" s="181" t="s">
        <v>1</v>
      </c>
      <c r="O27" s="157"/>
      <c r="P27" s="157"/>
      <c r="Q27" s="181"/>
    </row>
    <row r="28" spans="1:17" ht="27.75" customHeight="1">
      <c r="A28" s="171" t="s">
        <v>70</v>
      </c>
      <c r="B28" s="227"/>
      <c r="C28" s="228"/>
      <c r="D28" s="227"/>
      <c r="E28" s="228"/>
      <c r="F28" s="227"/>
      <c r="G28" s="228"/>
      <c r="H28" s="227"/>
      <c r="I28" s="229"/>
      <c r="J28" s="227"/>
      <c r="K28" s="228"/>
      <c r="L28" s="222">
        <f t="shared" si="2"/>
        <v>0</v>
      </c>
      <c r="M28" s="230">
        <f t="shared" si="2"/>
        <v>0</v>
      </c>
      <c r="N28" s="181" t="s">
        <v>1</v>
      </c>
      <c r="O28" s="158"/>
      <c r="P28" s="158"/>
      <c r="Q28" s="181"/>
    </row>
    <row r="29" spans="1:17">
      <c r="A29" s="62" t="s">
        <v>27</v>
      </c>
      <c r="B29" s="231">
        <f>SUM(B21:B28)</f>
        <v>3007</v>
      </c>
      <c r="C29" s="232">
        <f>SUM(C21:C28)</f>
        <v>646929</v>
      </c>
      <c r="D29" s="231">
        <f>SUM(D21:D28)</f>
        <v>3048</v>
      </c>
      <c r="E29" s="232">
        <f>SUM(E21:E28)</f>
        <v>668863</v>
      </c>
      <c r="F29" s="231">
        <f t="shared" ref="F29:M29" si="3">SUM(F21:F28)</f>
        <v>3076</v>
      </c>
      <c r="G29" s="232">
        <f t="shared" si="3"/>
        <v>690510</v>
      </c>
      <c r="H29" s="233">
        <f t="shared" si="3"/>
        <v>29</v>
      </c>
      <c r="I29" s="234">
        <f t="shared" si="3"/>
        <v>7826</v>
      </c>
      <c r="J29" s="231">
        <f t="shared" si="3"/>
        <v>0</v>
      </c>
      <c r="K29" s="232">
        <f t="shared" si="3"/>
        <v>-544</v>
      </c>
      <c r="L29" s="233">
        <f t="shared" si="3"/>
        <v>3105</v>
      </c>
      <c r="M29" s="232">
        <f t="shared" si="3"/>
        <v>697792</v>
      </c>
      <c r="N29" s="181" t="s">
        <v>1</v>
      </c>
      <c r="O29" s="163"/>
      <c r="P29" s="163"/>
      <c r="Q29" s="181"/>
    </row>
    <row r="30" spans="1:17">
      <c r="A30" s="58"/>
      <c r="B30" s="222"/>
      <c r="C30" s="223"/>
      <c r="D30" s="222"/>
      <c r="E30" s="223"/>
      <c r="F30" s="222"/>
      <c r="G30" s="223"/>
      <c r="H30" s="222"/>
      <c r="I30" s="224"/>
      <c r="J30" s="222"/>
      <c r="K30" s="223"/>
      <c r="L30" s="222"/>
      <c r="M30" s="223"/>
      <c r="N30" s="181" t="s">
        <v>1</v>
      </c>
      <c r="O30" s="157"/>
      <c r="P30" s="157"/>
      <c r="Q30" s="181"/>
    </row>
    <row r="31" spans="1:17" ht="25.5">
      <c r="A31" s="61" t="s">
        <v>59</v>
      </c>
      <c r="B31" s="222"/>
      <c r="C31" s="223"/>
      <c r="D31" s="222"/>
      <c r="E31" s="223"/>
      <c r="F31" s="222"/>
      <c r="G31" s="223"/>
      <c r="H31" s="222"/>
      <c r="I31" s="224"/>
      <c r="J31" s="222"/>
      <c r="K31" s="223"/>
      <c r="L31" s="222"/>
      <c r="M31" s="223"/>
      <c r="N31" s="181" t="s">
        <v>1</v>
      </c>
      <c r="O31" s="157"/>
      <c r="P31" s="157"/>
      <c r="Q31" s="181"/>
    </row>
    <row r="32" spans="1:17" ht="38.25">
      <c r="A32" s="171" t="s">
        <v>71</v>
      </c>
      <c r="B32" s="222"/>
      <c r="C32" s="223"/>
      <c r="D32" s="222"/>
      <c r="E32" s="223"/>
      <c r="F32" s="222"/>
      <c r="G32" s="223"/>
      <c r="H32" s="222"/>
      <c r="I32" s="224"/>
      <c r="J32" s="222"/>
      <c r="K32" s="223"/>
      <c r="L32" s="222">
        <f t="shared" ref="L32:M38" si="4">+F32+H32+J32</f>
        <v>0</v>
      </c>
      <c r="M32" s="223">
        <f t="shared" si="4"/>
        <v>0</v>
      </c>
      <c r="N32" s="181" t="s">
        <v>1</v>
      </c>
      <c r="O32" s="157"/>
      <c r="P32" s="157"/>
      <c r="Q32" s="181"/>
    </row>
    <row r="33" spans="1:17">
      <c r="A33" s="170" t="s">
        <v>72</v>
      </c>
      <c r="B33" s="222"/>
      <c r="C33" s="223"/>
      <c r="D33" s="222"/>
      <c r="E33" s="223"/>
      <c r="F33" s="222"/>
      <c r="G33" s="223"/>
      <c r="H33" s="222"/>
      <c r="I33" s="224"/>
      <c r="J33" s="222"/>
      <c r="K33" s="223"/>
      <c r="L33" s="222">
        <f t="shared" si="4"/>
        <v>0</v>
      </c>
      <c r="M33" s="223">
        <f t="shared" si="4"/>
        <v>0</v>
      </c>
      <c r="N33" s="181" t="s">
        <v>1</v>
      </c>
      <c r="O33" s="157"/>
      <c r="P33" s="157"/>
      <c r="Q33" s="181"/>
    </row>
    <row r="34" spans="1:17" ht="38.25">
      <c r="A34" s="171" t="s">
        <v>169</v>
      </c>
      <c r="B34" s="222"/>
      <c r="C34" s="223"/>
      <c r="D34" s="222"/>
      <c r="E34" s="223"/>
      <c r="F34" s="222"/>
      <c r="G34" s="223"/>
      <c r="H34" s="222"/>
      <c r="I34" s="224"/>
      <c r="J34" s="222"/>
      <c r="K34" s="223"/>
      <c r="L34" s="222">
        <f t="shared" si="4"/>
        <v>0</v>
      </c>
      <c r="M34" s="223">
        <f t="shared" si="4"/>
        <v>0</v>
      </c>
      <c r="N34" s="181" t="s">
        <v>1</v>
      </c>
      <c r="O34" s="157"/>
      <c r="P34" s="157"/>
      <c r="Q34" s="181"/>
    </row>
    <row r="35" spans="1:17" ht="38.25">
      <c r="A35" s="171" t="s">
        <v>74</v>
      </c>
      <c r="B35" s="222"/>
      <c r="C35" s="223"/>
      <c r="D35" s="222"/>
      <c r="E35" s="223"/>
      <c r="F35" s="222"/>
      <c r="G35" s="223"/>
      <c r="H35" s="222"/>
      <c r="I35" s="224"/>
      <c r="J35" s="222"/>
      <c r="K35" s="223"/>
      <c r="L35" s="222">
        <f t="shared" si="4"/>
        <v>0</v>
      </c>
      <c r="M35" s="223">
        <f t="shared" si="4"/>
        <v>0</v>
      </c>
      <c r="N35" s="181" t="s">
        <v>1</v>
      </c>
      <c r="O35" s="157"/>
      <c r="P35" s="157"/>
      <c r="Q35" s="181"/>
    </row>
    <row r="36" spans="1:17" ht="25.5">
      <c r="A36" s="171" t="s">
        <v>75</v>
      </c>
      <c r="B36" s="222"/>
      <c r="C36" s="223"/>
      <c r="D36" s="222"/>
      <c r="E36" s="223"/>
      <c r="F36" s="222"/>
      <c r="G36" s="223"/>
      <c r="H36" s="222"/>
      <c r="I36" s="224"/>
      <c r="J36" s="222"/>
      <c r="K36" s="223"/>
      <c r="L36" s="222">
        <f t="shared" si="4"/>
        <v>0</v>
      </c>
      <c r="M36" s="223">
        <f t="shared" si="4"/>
        <v>0</v>
      </c>
      <c r="N36" s="181" t="s">
        <v>1</v>
      </c>
      <c r="O36" s="157"/>
      <c r="P36" s="157"/>
      <c r="Q36" s="181"/>
    </row>
    <row r="37" spans="1:17" ht="25.5">
      <c r="A37" s="171" t="s">
        <v>170</v>
      </c>
      <c r="B37" s="222"/>
      <c r="C37" s="223"/>
      <c r="D37" s="222"/>
      <c r="E37" s="223"/>
      <c r="F37" s="222"/>
      <c r="G37" s="223"/>
      <c r="H37" s="222"/>
      <c r="I37" s="224"/>
      <c r="J37" s="222"/>
      <c r="K37" s="223"/>
      <c r="L37" s="222">
        <f t="shared" si="4"/>
        <v>0</v>
      </c>
      <c r="M37" s="223">
        <f t="shared" si="4"/>
        <v>0</v>
      </c>
      <c r="N37" s="181" t="s">
        <v>1</v>
      </c>
      <c r="O37" s="157"/>
      <c r="P37" s="157"/>
      <c r="Q37" s="181"/>
    </row>
    <row r="38" spans="1:17">
      <c r="A38" s="170" t="s">
        <v>76</v>
      </c>
      <c r="B38" s="222"/>
      <c r="C38" s="223"/>
      <c r="D38" s="222"/>
      <c r="E38" s="223"/>
      <c r="F38" s="222"/>
      <c r="G38" s="223"/>
      <c r="H38" s="222"/>
      <c r="I38" s="224"/>
      <c r="J38" s="222"/>
      <c r="K38" s="223"/>
      <c r="L38" s="222">
        <f t="shared" si="4"/>
        <v>0</v>
      </c>
      <c r="M38" s="223">
        <f t="shared" si="4"/>
        <v>0</v>
      </c>
      <c r="N38" s="181" t="s">
        <v>1</v>
      </c>
      <c r="O38" s="157"/>
      <c r="P38" s="157"/>
      <c r="Q38" s="181"/>
    </row>
    <row r="39" spans="1:17">
      <c r="A39" s="62" t="s">
        <v>28</v>
      </c>
      <c r="B39" s="231">
        <f>SUM(B32:B38)</f>
        <v>0</v>
      </c>
      <c r="C39" s="232">
        <f>SUM(C32:C38)</f>
        <v>0</v>
      </c>
      <c r="D39" s="231">
        <f>SUM(D32:D38)</f>
        <v>0</v>
      </c>
      <c r="E39" s="232">
        <f>SUM(E32:E38)</f>
        <v>0</v>
      </c>
      <c r="F39" s="231">
        <f t="shared" ref="F39:M39" si="5">SUM(F32:F38)</f>
        <v>0</v>
      </c>
      <c r="G39" s="232">
        <f t="shared" si="5"/>
        <v>0</v>
      </c>
      <c r="H39" s="231">
        <f t="shared" si="5"/>
        <v>0</v>
      </c>
      <c r="I39" s="234">
        <f t="shared" si="5"/>
        <v>0</v>
      </c>
      <c r="J39" s="231">
        <f t="shared" si="5"/>
        <v>0</v>
      </c>
      <c r="K39" s="232">
        <f t="shared" si="5"/>
        <v>0</v>
      </c>
      <c r="L39" s="231">
        <f t="shared" si="5"/>
        <v>0</v>
      </c>
      <c r="M39" s="232">
        <f t="shared" si="5"/>
        <v>0</v>
      </c>
      <c r="N39" s="181" t="s">
        <v>1</v>
      </c>
      <c r="O39" s="163"/>
      <c r="P39" s="163"/>
      <c r="Q39" s="181"/>
    </row>
    <row r="40" spans="1:17" ht="13.5" thickBot="1">
      <c r="A40" s="57"/>
      <c r="B40" s="57"/>
      <c r="C40" s="57"/>
      <c r="D40" s="57"/>
      <c r="E40" s="57"/>
      <c r="F40" s="57"/>
      <c r="G40" s="57"/>
      <c r="H40" s="308"/>
      <c r="I40" s="308"/>
      <c r="J40" s="309"/>
      <c r="K40" s="57"/>
      <c r="L40" s="57"/>
      <c r="M40" s="57"/>
      <c r="N40" s="181" t="s">
        <v>1</v>
      </c>
      <c r="O40" s="157"/>
      <c r="P40" s="157"/>
      <c r="Q40" s="181"/>
    </row>
    <row r="41" spans="1:17" s="45" customFormat="1" ht="13.5" thickBot="1">
      <c r="A41" s="118" t="s">
        <v>29</v>
      </c>
      <c r="B41" s="385">
        <f>B18+B29+B39</f>
        <v>5012</v>
      </c>
      <c r="C41" s="386">
        <f>C18+C29+C39</f>
        <v>1078215</v>
      </c>
      <c r="D41" s="385">
        <f>D18+D29+D39</f>
        <v>5080</v>
      </c>
      <c r="E41" s="386">
        <f>E18+E29+E39</f>
        <v>1114772</v>
      </c>
      <c r="F41" s="385">
        <f t="shared" ref="F41:M41" si="6">F18+F29+F39</f>
        <v>5126</v>
      </c>
      <c r="G41" s="386">
        <f t="shared" si="6"/>
        <v>1150850</v>
      </c>
      <c r="H41" s="385">
        <f t="shared" si="6"/>
        <v>49</v>
      </c>
      <c r="I41" s="386">
        <f t="shared" si="6"/>
        <v>13043</v>
      </c>
      <c r="J41" s="385">
        <f t="shared" si="6"/>
        <v>0</v>
      </c>
      <c r="K41" s="386">
        <f t="shared" si="6"/>
        <v>-907</v>
      </c>
      <c r="L41" s="385">
        <f t="shared" si="6"/>
        <v>5175</v>
      </c>
      <c r="M41" s="386">
        <f t="shared" si="6"/>
        <v>1162986</v>
      </c>
      <c r="N41" s="181" t="s">
        <v>41</v>
      </c>
      <c r="O41" s="63"/>
      <c r="P41" s="64"/>
      <c r="Q41" s="181"/>
    </row>
    <row r="42" spans="1:17" ht="15">
      <c r="A42" s="613"/>
      <c r="B42" s="614"/>
      <c r="C42" s="614"/>
      <c r="D42" s="614"/>
      <c r="E42" s="614"/>
      <c r="F42" s="614"/>
      <c r="G42" s="615"/>
      <c r="H42" s="615"/>
      <c r="I42" s="615"/>
      <c r="J42" s="615"/>
      <c r="K42" s="615"/>
      <c r="L42" s="615"/>
      <c r="M42" s="615"/>
      <c r="N42" s="615"/>
      <c r="O42" s="615"/>
      <c r="P42" s="615"/>
    </row>
    <row r="43" spans="1:17">
      <c r="P43" s="181"/>
    </row>
  </sheetData>
  <mergeCells count="13">
    <mergeCell ref="A1:M1"/>
    <mergeCell ref="A3:M3"/>
    <mergeCell ref="A4:M4"/>
    <mergeCell ref="A5:M5"/>
    <mergeCell ref="B8:C9"/>
    <mergeCell ref="A42:P42"/>
    <mergeCell ref="A10:A11"/>
    <mergeCell ref="F8:G9"/>
    <mergeCell ref="J9:K9"/>
    <mergeCell ref="D8:E9"/>
    <mergeCell ref="L8:M9"/>
    <mergeCell ref="H9:I9"/>
    <mergeCell ref="H8:K8"/>
  </mergeCells>
  <phoneticPr fontId="26" type="noConversion"/>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AA87"/>
  <sheetViews>
    <sheetView view="pageBreakPreview" zoomScaleNormal="100" zoomScaleSheetLayoutView="150" workbookViewId="0">
      <selection activeCell="R9" sqref="R9"/>
    </sheetView>
  </sheetViews>
  <sheetFormatPr defaultRowHeight="15"/>
  <cols>
    <col min="1" max="1" width="9.44140625" customWidth="1"/>
    <col min="5" max="5" width="9.5546875" customWidth="1"/>
    <col min="6" max="6" width="0.77734375" customWidth="1"/>
    <col min="7" max="7" width="10.33203125" customWidth="1"/>
    <col min="8" max="8" width="0.44140625" customWidth="1"/>
    <col min="9" max="9" width="9.5546875" customWidth="1"/>
    <col min="10" max="10" width="0.6640625" customWidth="1"/>
    <col min="11" max="11" width="10.44140625" customWidth="1"/>
    <col min="13" max="13" width="9.33203125" customWidth="1"/>
    <col min="14" max="14" width="1" style="184" customWidth="1"/>
  </cols>
  <sheetData>
    <row r="1" spans="1:27" ht="20.25">
      <c r="A1" s="625" t="s">
        <v>50</v>
      </c>
      <c r="B1" s="638"/>
      <c r="C1" s="638"/>
      <c r="D1" s="638"/>
      <c r="E1" s="638"/>
      <c r="F1" s="638"/>
      <c r="G1" s="638"/>
      <c r="H1" s="638"/>
      <c r="I1" s="638"/>
      <c r="J1" s="638"/>
      <c r="K1" s="638"/>
      <c r="L1" s="638"/>
      <c r="M1" s="638"/>
      <c r="N1" s="184" t="s">
        <v>1</v>
      </c>
    </row>
    <row r="2" spans="1:27" ht="15.75">
      <c r="A2" s="166" t="s">
        <v>226</v>
      </c>
      <c r="N2" s="184" t="s">
        <v>1</v>
      </c>
    </row>
    <row r="3" spans="1:27" ht="15" customHeight="1">
      <c r="A3" s="627" t="s">
        <v>189</v>
      </c>
      <c r="B3" s="502"/>
      <c r="C3" s="502"/>
      <c r="D3" s="502"/>
      <c r="E3" s="502"/>
      <c r="F3" s="502"/>
      <c r="G3" s="502"/>
      <c r="H3" s="502"/>
      <c r="I3" s="502"/>
      <c r="J3" s="502"/>
      <c r="K3" s="502"/>
      <c r="L3" s="502"/>
      <c r="M3" s="502"/>
      <c r="N3" s="184" t="s">
        <v>1</v>
      </c>
      <c r="O3" s="135"/>
      <c r="P3" s="135"/>
      <c r="Q3" s="135"/>
      <c r="R3" s="135"/>
      <c r="S3" s="135"/>
      <c r="T3" s="135"/>
      <c r="U3" s="135"/>
      <c r="V3" s="135"/>
      <c r="W3" s="135"/>
      <c r="X3" s="135"/>
      <c r="Y3" s="135"/>
      <c r="Z3" s="135"/>
      <c r="AA3" s="135"/>
    </row>
    <row r="4" spans="1:27" ht="15.75">
      <c r="A4" s="628" t="str">
        <f>+'B. Summary of Requirements '!A5</f>
        <v>Bureau of Alcohol, Tobacco, Firearms and Explosives</v>
      </c>
      <c r="B4" s="502"/>
      <c r="C4" s="502"/>
      <c r="D4" s="502"/>
      <c r="E4" s="502"/>
      <c r="F4" s="502"/>
      <c r="G4" s="502"/>
      <c r="H4" s="502"/>
      <c r="I4" s="502"/>
      <c r="J4" s="502"/>
      <c r="K4" s="502"/>
      <c r="L4" s="502"/>
      <c r="M4" s="502"/>
      <c r="N4" s="184" t="s">
        <v>1</v>
      </c>
      <c r="O4" s="138"/>
      <c r="P4" s="135"/>
      <c r="Q4" s="135"/>
      <c r="R4" s="135"/>
      <c r="S4" s="135"/>
      <c r="T4" s="135"/>
      <c r="U4" s="135"/>
      <c r="V4" s="135"/>
      <c r="W4" s="135"/>
      <c r="X4" s="135"/>
      <c r="Y4" s="135"/>
      <c r="Z4" s="135"/>
      <c r="AA4" s="135"/>
    </row>
    <row r="5" spans="1:27">
      <c r="A5" s="136"/>
      <c r="B5" s="137"/>
      <c r="C5" s="137"/>
      <c r="D5" s="137"/>
      <c r="E5" s="137"/>
      <c r="F5" s="137"/>
      <c r="G5" s="137"/>
      <c r="H5" s="137"/>
      <c r="I5" s="137"/>
      <c r="J5" s="137"/>
      <c r="K5" s="137"/>
      <c r="L5" s="137"/>
      <c r="M5" s="137"/>
      <c r="N5" s="184" t="s">
        <v>1</v>
      </c>
      <c r="O5" s="137"/>
      <c r="P5" s="135"/>
      <c r="Q5" s="135"/>
      <c r="R5" s="135"/>
      <c r="S5" s="135"/>
      <c r="T5" s="135"/>
      <c r="U5" s="135"/>
      <c r="V5" s="135"/>
      <c r="W5" s="135"/>
      <c r="X5" s="135"/>
      <c r="Y5" s="135"/>
      <c r="Z5" s="135"/>
      <c r="AA5" s="135"/>
    </row>
    <row r="6" spans="1:27">
      <c r="A6" s="72"/>
      <c r="B6" s="72"/>
      <c r="C6" s="72"/>
      <c r="D6" s="72"/>
      <c r="E6" s="72"/>
      <c r="F6" s="72"/>
      <c r="G6" s="72"/>
      <c r="H6" s="72"/>
      <c r="I6" s="72"/>
      <c r="J6" s="72"/>
      <c r="K6" s="72"/>
      <c r="L6" s="72"/>
      <c r="M6" s="72"/>
      <c r="N6" s="184" t="s">
        <v>1</v>
      </c>
      <c r="O6" s="72"/>
    </row>
    <row r="7" spans="1:27" s="345" customFormat="1">
      <c r="A7" s="649" t="s">
        <v>228</v>
      </c>
      <c r="B7" s="650"/>
      <c r="C7" s="650"/>
      <c r="D7" s="650"/>
      <c r="E7" s="650"/>
      <c r="F7" s="650"/>
      <c r="G7" s="650"/>
      <c r="H7" s="650"/>
      <c r="I7" s="650"/>
      <c r="J7" s="650"/>
      <c r="K7" s="650"/>
      <c r="L7" s="650"/>
      <c r="M7" s="650"/>
      <c r="N7" s="343" t="s">
        <v>1</v>
      </c>
      <c r="O7" s="137"/>
    </row>
    <row r="8" spans="1:27" s="345" customFormat="1">
      <c r="A8" s="346"/>
      <c r="B8" s="346"/>
      <c r="C8" s="346"/>
      <c r="D8" s="346"/>
      <c r="E8" s="346"/>
      <c r="F8" s="346"/>
      <c r="G8" s="346"/>
      <c r="H8" s="346"/>
      <c r="I8" s="346"/>
      <c r="J8" s="346"/>
      <c r="K8" s="346"/>
      <c r="L8" s="346"/>
      <c r="M8" s="346"/>
      <c r="N8" s="343" t="s">
        <v>1</v>
      </c>
      <c r="O8" s="137"/>
    </row>
    <row r="9" spans="1:27" s="345" customFormat="1" ht="45" customHeight="1">
      <c r="A9" s="641" t="s">
        <v>317</v>
      </c>
      <c r="B9" s="642"/>
      <c r="C9" s="642"/>
      <c r="D9" s="642"/>
      <c r="E9" s="642"/>
      <c r="F9" s="642"/>
      <c r="G9" s="642"/>
      <c r="H9" s="642"/>
      <c r="I9" s="642"/>
      <c r="J9" s="642"/>
      <c r="K9" s="642"/>
      <c r="L9" s="642"/>
      <c r="M9" s="642"/>
      <c r="N9" s="343" t="s">
        <v>1</v>
      </c>
      <c r="O9" s="137"/>
    </row>
    <row r="10" spans="1:27" s="345" customFormat="1">
      <c r="A10" s="346"/>
      <c r="B10" s="346"/>
      <c r="C10" s="346"/>
      <c r="D10" s="346"/>
      <c r="E10" s="346"/>
      <c r="F10" s="346"/>
      <c r="G10" s="346"/>
      <c r="H10" s="346"/>
      <c r="I10" s="346"/>
      <c r="J10" s="346"/>
      <c r="K10" s="346"/>
      <c r="L10" s="346"/>
      <c r="M10" s="346"/>
      <c r="N10" s="343" t="s">
        <v>1</v>
      </c>
      <c r="O10" s="137"/>
    </row>
    <row r="11" spans="1:27" s="345" customFormat="1" ht="42.75" customHeight="1">
      <c r="A11" s="641" t="s">
        <v>278</v>
      </c>
      <c r="B11" s="642"/>
      <c r="C11" s="642"/>
      <c r="D11" s="642"/>
      <c r="E11" s="642"/>
      <c r="F11" s="642"/>
      <c r="G11" s="642"/>
      <c r="H11" s="642"/>
      <c r="I11" s="642"/>
      <c r="J11" s="642"/>
      <c r="K11" s="642"/>
      <c r="L11" s="642"/>
      <c r="M11" s="642"/>
      <c r="N11" s="343" t="s">
        <v>1</v>
      </c>
      <c r="O11" s="137"/>
    </row>
    <row r="12" spans="1:27" s="345" customFormat="1">
      <c r="A12" s="346"/>
      <c r="B12" s="346"/>
      <c r="C12" s="346"/>
      <c r="D12" s="346"/>
      <c r="E12" s="346"/>
      <c r="F12" s="346"/>
      <c r="G12" s="346"/>
      <c r="H12" s="346"/>
      <c r="I12" s="346"/>
      <c r="J12" s="346"/>
      <c r="K12" s="346"/>
      <c r="L12" s="346"/>
      <c r="M12" s="346"/>
      <c r="N12" s="343" t="s">
        <v>1</v>
      </c>
      <c r="O12" s="137"/>
    </row>
    <row r="13" spans="1:27" s="345" customFormat="1" ht="68.25" customHeight="1">
      <c r="A13" s="645" t="s">
        <v>280</v>
      </c>
      <c r="B13" s="651"/>
      <c r="C13" s="651"/>
      <c r="D13" s="651"/>
      <c r="E13" s="651"/>
      <c r="F13" s="651"/>
      <c r="G13" s="651"/>
      <c r="H13" s="651"/>
      <c r="I13" s="651"/>
      <c r="J13" s="651"/>
      <c r="K13" s="651"/>
      <c r="L13" s="651"/>
      <c r="M13" s="651"/>
      <c r="N13" s="343" t="s">
        <v>1</v>
      </c>
      <c r="O13" s="137"/>
    </row>
    <row r="14" spans="1:27" s="345" customFormat="1" ht="15" customHeight="1">
      <c r="A14" s="342"/>
      <c r="B14" s="68"/>
      <c r="C14" s="68"/>
      <c r="D14" s="68"/>
      <c r="E14" s="68"/>
      <c r="F14" s="68"/>
      <c r="G14" s="68"/>
      <c r="H14" s="68"/>
      <c r="I14" s="68"/>
      <c r="J14" s="68"/>
      <c r="K14" s="68"/>
      <c r="L14" s="68"/>
      <c r="M14" s="68"/>
      <c r="N14" s="343" t="s">
        <v>1</v>
      </c>
      <c r="O14" s="137"/>
    </row>
    <row r="15" spans="1:27" s="345" customFormat="1" ht="66.75" customHeight="1">
      <c r="A15" s="630" t="s">
        <v>279</v>
      </c>
      <c r="B15" s="637"/>
      <c r="C15" s="637"/>
      <c r="D15" s="637"/>
      <c r="E15" s="637"/>
      <c r="F15" s="637"/>
      <c r="G15" s="637"/>
      <c r="H15" s="637"/>
      <c r="I15" s="637"/>
      <c r="J15" s="637"/>
      <c r="K15" s="637"/>
      <c r="L15" s="637"/>
      <c r="M15" s="637"/>
      <c r="N15" s="343" t="s">
        <v>1</v>
      </c>
      <c r="O15" s="137"/>
    </row>
    <row r="16" spans="1:27" s="345" customFormat="1" ht="15" customHeight="1">
      <c r="A16" s="346"/>
      <c r="B16" s="346"/>
      <c r="C16" s="346"/>
      <c r="D16" s="346"/>
      <c r="E16" s="346"/>
      <c r="F16" s="346"/>
      <c r="G16" s="346"/>
      <c r="H16" s="346"/>
      <c r="I16" s="346"/>
      <c r="J16" s="346"/>
      <c r="K16" s="346"/>
      <c r="L16" s="346"/>
      <c r="M16" s="346"/>
      <c r="N16" s="343" t="s">
        <v>1</v>
      </c>
      <c r="O16" s="137"/>
    </row>
    <row r="17" spans="1:15" s="345" customFormat="1" ht="19.5" customHeight="1">
      <c r="B17" s="346"/>
      <c r="C17" s="346"/>
      <c r="D17" s="346"/>
      <c r="E17" s="643" t="s">
        <v>8</v>
      </c>
      <c r="F17" s="347"/>
      <c r="G17" s="643" t="s">
        <v>163</v>
      </c>
      <c r="H17" s="348"/>
      <c r="I17" s="643" t="s">
        <v>162</v>
      </c>
      <c r="J17" s="346"/>
      <c r="K17" s="643" t="s">
        <v>163</v>
      </c>
      <c r="L17" s="346"/>
      <c r="M17" s="346"/>
      <c r="N17" s="343" t="s">
        <v>1</v>
      </c>
      <c r="O17" s="137"/>
    </row>
    <row r="18" spans="1:15" s="345" customFormat="1">
      <c r="B18" s="346"/>
      <c r="C18" s="346"/>
      <c r="D18" s="346"/>
      <c r="E18" s="644"/>
      <c r="F18" s="347"/>
      <c r="G18" s="644"/>
      <c r="H18" s="348"/>
      <c r="I18" s="644"/>
      <c r="J18" s="346"/>
      <c r="K18" s="644"/>
      <c r="L18" s="346"/>
      <c r="M18" s="346"/>
      <c r="N18" s="343" t="s">
        <v>1</v>
      </c>
      <c r="O18" s="137"/>
    </row>
    <row r="19" spans="1:15" s="345" customFormat="1">
      <c r="A19" s="346" t="s">
        <v>247</v>
      </c>
      <c r="B19" s="346"/>
      <c r="C19" s="346"/>
      <c r="D19" s="346"/>
      <c r="E19" s="349"/>
      <c r="F19" s="346"/>
      <c r="G19" s="371">
        <f>2977*2</f>
        <v>5954</v>
      </c>
      <c r="H19" s="348"/>
      <c r="I19" s="349"/>
      <c r="J19" s="346"/>
      <c r="K19" s="371">
        <v>11738</v>
      </c>
      <c r="L19" s="346"/>
      <c r="M19" s="346"/>
      <c r="N19" s="343" t="s">
        <v>1</v>
      </c>
      <c r="O19" s="137"/>
    </row>
    <row r="20" spans="1:15" s="345" customFormat="1">
      <c r="A20" s="346" t="s">
        <v>174</v>
      </c>
      <c r="B20" s="346"/>
      <c r="C20" s="346"/>
      <c r="D20" s="346"/>
      <c r="E20" s="350"/>
      <c r="F20" s="346"/>
      <c r="G20" s="372">
        <v>2977</v>
      </c>
      <c r="H20" s="348"/>
      <c r="I20" s="350"/>
      <c r="J20" s="346"/>
      <c r="K20" s="372">
        <v>5869</v>
      </c>
      <c r="L20" s="346"/>
      <c r="M20" s="346"/>
      <c r="N20" s="343" t="s">
        <v>1</v>
      </c>
      <c r="O20" s="137"/>
    </row>
    <row r="21" spans="1:15" s="345" customFormat="1">
      <c r="A21" s="346" t="s">
        <v>190</v>
      </c>
      <c r="B21" s="346"/>
      <c r="C21" s="346"/>
      <c r="D21" s="346"/>
      <c r="E21" s="349">
        <f>E19-E20</f>
        <v>0</v>
      </c>
      <c r="F21" s="346"/>
      <c r="G21" s="371">
        <f>G19-G20</f>
        <v>2977</v>
      </c>
      <c r="H21" s="348"/>
      <c r="I21" s="349">
        <f>I19-I20</f>
        <v>0</v>
      </c>
      <c r="J21" s="346"/>
      <c r="K21" s="371">
        <f>K19-K20</f>
        <v>5869</v>
      </c>
      <c r="L21" s="346"/>
      <c r="M21" s="346"/>
      <c r="N21" s="343" t="s">
        <v>1</v>
      </c>
      <c r="O21" s="137"/>
    </row>
    <row r="22" spans="1:15" s="345" customFormat="1">
      <c r="A22" s="346" t="s">
        <v>191</v>
      </c>
      <c r="B22" s="346"/>
      <c r="C22" s="346"/>
      <c r="D22" s="346"/>
      <c r="E22" s="346"/>
      <c r="F22" s="346"/>
      <c r="G22" s="373">
        <v>1706</v>
      </c>
      <c r="H22" s="348"/>
      <c r="I22" s="346"/>
      <c r="J22" s="346"/>
      <c r="K22" s="373">
        <v>5660</v>
      </c>
      <c r="L22" s="346"/>
      <c r="M22" s="346"/>
      <c r="N22" s="343" t="s">
        <v>1</v>
      </c>
      <c r="O22" s="137"/>
    </row>
    <row r="23" spans="1:15" s="345" customFormat="1">
      <c r="A23" s="346" t="s">
        <v>150</v>
      </c>
      <c r="B23" s="346"/>
      <c r="C23" s="346"/>
      <c r="D23" s="346"/>
      <c r="E23" s="346"/>
      <c r="F23" s="346"/>
      <c r="G23" s="373">
        <v>238</v>
      </c>
      <c r="H23" s="348"/>
      <c r="I23" s="346"/>
      <c r="J23" s="346"/>
      <c r="K23" s="373">
        <v>1251</v>
      </c>
      <c r="L23" s="346"/>
      <c r="M23" s="346"/>
      <c r="N23" s="343" t="s">
        <v>1</v>
      </c>
      <c r="O23" s="137"/>
    </row>
    <row r="24" spans="1:15" s="345" customFormat="1">
      <c r="A24" s="346" t="s">
        <v>192</v>
      </c>
      <c r="B24" s="346"/>
      <c r="C24" s="346"/>
      <c r="D24" s="346"/>
      <c r="E24" s="346"/>
      <c r="F24" s="346"/>
      <c r="G24" s="373">
        <v>88</v>
      </c>
      <c r="H24" s="348"/>
      <c r="I24" s="346"/>
      <c r="J24" s="346"/>
      <c r="K24" s="373">
        <v>458</v>
      </c>
      <c r="L24" s="346"/>
      <c r="M24" s="346"/>
      <c r="N24" s="343" t="s">
        <v>1</v>
      </c>
      <c r="O24" s="137"/>
    </row>
    <row r="25" spans="1:15" s="345" customFormat="1">
      <c r="A25" s="346" t="s">
        <v>248</v>
      </c>
      <c r="B25" s="346"/>
      <c r="C25" s="346"/>
      <c r="D25" s="346"/>
      <c r="E25" s="346"/>
      <c r="F25" s="346"/>
      <c r="G25" s="373">
        <v>447</v>
      </c>
      <c r="H25" s="348"/>
      <c r="I25" s="346"/>
      <c r="J25" s="346"/>
      <c r="K25" s="373">
        <v>2171</v>
      </c>
      <c r="L25" s="346"/>
      <c r="M25" s="346"/>
      <c r="N25" s="343" t="s">
        <v>1</v>
      </c>
      <c r="O25" s="137"/>
    </row>
    <row r="26" spans="1:15" s="345" customFormat="1">
      <c r="A26" s="346" t="s">
        <v>249</v>
      </c>
      <c r="B26" s="346"/>
      <c r="C26" s="346"/>
      <c r="D26" s="346"/>
      <c r="E26" s="346"/>
      <c r="F26" s="346"/>
      <c r="G26" s="373">
        <v>4</v>
      </c>
      <c r="H26" s="348"/>
      <c r="I26" s="346"/>
      <c r="J26" s="346"/>
      <c r="K26" s="373">
        <v>45</v>
      </c>
      <c r="L26" s="346"/>
      <c r="M26" s="346"/>
      <c r="N26" s="343" t="s">
        <v>1</v>
      </c>
      <c r="O26" s="137"/>
    </row>
    <row r="27" spans="1:15" s="345" customFormat="1">
      <c r="A27" s="346" t="s">
        <v>193</v>
      </c>
      <c r="B27" s="346"/>
      <c r="C27" s="346"/>
      <c r="D27" s="346"/>
      <c r="E27" s="346"/>
      <c r="F27" s="346"/>
      <c r="G27" s="373">
        <v>89</v>
      </c>
      <c r="H27" s="348"/>
      <c r="I27" s="346"/>
      <c r="J27" s="346"/>
      <c r="K27" s="373">
        <v>501</v>
      </c>
      <c r="L27" s="346"/>
      <c r="M27" s="346"/>
      <c r="N27" s="343" t="s">
        <v>1</v>
      </c>
      <c r="O27" s="137"/>
    </row>
    <row r="28" spans="1:15" s="345" customFormat="1">
      <c r="A28" s="346" t="s">
        <v>194</v>
      </c>
      <c r="B28" s="346"/>
      <c r="C28" s="346"/>
      <c r="D28" s="346"/>
      <c r="E28" s="346"/>
      <c r="F28" s="346"/>
      <c r="G28" s="373">
        <v>4</v>
      </c>
      <c r="H28" s="348"/>
      <c r="I28" s="346"/>
      <c r="J28" s="346"/>
      <c r="K28" s="373">
        <v>29</v>
      </c>
      <c r="L28" s="346"/>
      <c r="M28" s="346"/>
      <c r="N28" s="343" t="s">
        <v>1</v>
      </c>
      <c r="O28" s="137"/>
    </row>
    <row r="29" spans="1:15" s="345" customFormat="1">
      <c r="A29" s="346" t="s">
        <v>250</v>
      </c>
      <c r="B29" s="346"/>
      <c r="C29" s="346"/>
      <c r="D29" s="346"/>
      <c r="E29" s="346"/>
      <c r="F29" s="346"/>
      <c r="G29" s="373">
        <v>-185</v>
      </c>
      <c r="H29" s="348"/>
      <c r="I29" s="346"/>
      <c r="J29" s="346"/>
      <c r="K29" s="373">
        <v>-590</v>
      </c>
      <c r="L29" s="346"/>
      <c r="M29" s="346"/>
      <c r="N29" s="343" t="s">
        <v>1</v>
      </c>
      <c r="O29" s="137"/>
    </row>
    <row r="30" spans="1:15" s="345" customFormat="1">
      <c r="A30" s="346" t="s">
        <v>195</v>
      </c>
      <c r="B30" s="346"/>
      <c r="C30" s="346"/>
      <c r="D30" s="346"/>
      <c r="E30" s="346"/>
      <c r="F30" s="346"/>
      <c r="G30" s="373"/>
      <c r="H30" s="348"/>
      <c r="I30" s="346"/>
      <c r="J30" s="346"/>
      <c r="K30" s="373"/>
      <c r="L30" s="346"/>
      <c r="M30" s="346"/>
      <c r="N30" s="343" t="s">
        <v>1</v>
      </c>
      <c r="O30" s="137"/>
    </row>
    <row r="31" spans="1:15" s="345" customFormat="1">
      <c r="A31" s="346" t="s">
        <v>196</v>
      </c>
      <c r="B31" s="346"/>
      <c r="C31" s="346"/>
      <c r="D31" s="346"/>
      <c r="E31" s="346"/>
      <c r="F31" s="346"/>
      <c r="G31" s="373">
        <v>157</v>
      </c>
      <c r="H31" s="348"/>
      <c r="I31" s="346"/>
      <c r="J31" s="346"/>
      <c r="K31" s="373">
        <v>1394</v>
      </c>
      <c r="L31" s="346"/>
      <c r="M31" s="346"/>
      <c r="N31" s="343" t="s">
        <v>1</v>
      </c>
      <c r="O31" s="137"/>
    </row>
    <row r="32" spans="1:15" s="345" customFormat="1">
      <c r="A32" s="346" t="s">
        <v>197</v>
      </c>
      <c r="B32" s="346"/>
      <c r="C32" s="346"/>
      <c r="D32" s="346"/>
      <c r="E32" s="346"/>
      <c r="F32" s="346"/>
      <c r="G32" s="373">
        <v>12</v>
      </c>
      <c r="H32" s="348"/>
      <c r="I32" s="346"/>
      <c r="J32" s="346"/>
      <c r="K32" s="373">
        <v>374</v>
      </c>
      <c r="L32" s="346"/>
      <c r="M32" s="346"/>
      <c r="N32" s="343" t="s">
        <v>1</v>
      </c>
      <c r="O32" s="137"/>
    </row>
    <row r="33" spans="1:15" s="345" customFormat="1">
      <c r="A33" s="346" t="s">
        <v>198</v>
      </c>
      <c r="B33" s="346"/>
      <c r="C33" s="346"/>
      <c r="D33" s="346"/>
      <c r="E33" s="346"/>
      <c r="F33" s="346"/>
      <c r="G33" s="373">
        <v>-281</v>
      </c>
      <c r="H33" s="348"/>
      <c r="I33" s="346"/>
      <c r="J33" s="346"/>
      <c r="K33" s="373">
        <v>-2669</v>
      </c>
      <c r="L33" s="346"/>
      <c r="M33" s="346"/>
      <c r="N33" s="343" t="s">
        <v>1</v>
      </c>
      <c r="O33" s="137"/>
    </row>
    <row r="34" spans="1:15" s="345" customFormat="1">
      <c r="A34" s="346" t="s">
        <v>251</v>
      </c>
      <c r="B34" s="346"/>
      <c r="C34" s="346"/>
      <c r="D34" s="346"/>
      <c r="E34" s="346"/>
      <c r="F34" s="346"/>
      <c r="G34" s="373">
        <v>52</v>
      </c>
      <c r="H34" s="348"/>
      <c r="I34" s="346"/>
      <c r="J34" s="346"/>
      <c r="K34" s="373">
        <v>328</v>
      </c>
      <c r="L34" s="346"/>
      <c r="M34" s="346"/>
      <c r="N34" s="343" t="s">
        <v>1</v>
      </c>
      <c r="O34" s="137"/>
    </row>
    <row r="35" spans="1:15" s="345" customFormat="1">
      <c r="A35" s="346" t="s">
        <v>199</v>
      </c>
      <c r="B35" s="346"/>
      <c r="C35" s="346"/>
      <c r="D35" s="346"/>
      <c r="E35" s="346"/>
      <c r="F35" s="346"/>
      <c r="G35" s="373">
        <v>-41</v>
      </c>
      <c r="H35" s="348"/>
      <c r="I35" s="346"/>
      <c r="J35" s="346"/>
      <c r="K35" s="373">
        <v>-183</v>
      </c>
      <c r="L35" s="346"/>
      <c r="M35" s="346"/>
      <c r="N35" s="343" t="s">
        <v>1</v>
      </c>
      <c r="O35" s="137"/>
    </row>
    <row r="36" spans="1:15" s="345" customFormat="1">
      <c r="A36" s="346" t="s">
        <v>129</v>
      </c>
      <c r="B36" s="346"/>
      <c r="C36" s="346"/>
      <c r="D36" s="346"/>
      <c r="E36" s="350"/>
      <c r="F36" s="346"/>
      <c r="G36" s="372">
        <v>-1582</v>
      </c>
      <c r="H36" s="348"/>
      <c r="I36" s="350"/>
      <c r="J36" s="346"/>
      <c r="K36" s="372">
        <v>-6596</v>
      </c>
      <c r="L36" s="346"/>
      <c r="M36" s="346"/>
      <c r="N36" s="343" t="s">
        <v>1</v>
      </c>
      <c r="O36" s="137"/>
    </row>
    <row r="37" spans="1:15" s="345" customFormat="1">
      <c r="A37" s="346" t="s">
        <v>200</v>
      </c>
      <c r="B37" s="346"/>
      <c r="C37" s="346"/>
      <c r="D37" s="346"/>
      <c r="E37" s="349">
        <f>E21+E22</f>
        <v>0</v>
      </c>
      <c r="F37" s="346"/>
      <c r="G37" s="371">
        <f>SUM(G21:G36)</f>
        <v>3685</v>
      </c>
      <c r="H37" s="348"/>
      <c r="I37" s="349">
        <f>SUM(I21:I36)</f>
        <v>0</v>
      </c>
      <c r="J37" s="346"/>
      <c r="K37" s="371">
        <f>SUM(K21:K36)</f>
        <v>8042</v>
      </c>
      <c r="L37" s="346"/>
      <c r="M37" s="346"/>
      <c r="N37" s="343" t="s">
        <v>1</v>
      </c>
      <c r="O37" s="137"/>
    </row>
    <row r="38" spans="1:15" s="345" customFormat="1">
      <c r="A38" s="346"/>
      <c r="B38" s="346"/>
      <c r="C38" s="346"/>
      <c r="D38" s="346"/>
      <c r="E38" s="349"/>
      <c r="F38" s="346"/>
      <c r="G38" s="371"/>
      <c r="H38" s="348"/>
      <c r="I38" s="349"/>
      <c r="J38" s="346"/>
      <c r="K38" s="371"/>
      <c r="L38" s="346"/>
      <c r="M38" s="346"/>
      <c r="N38" s="343" t="s">
        <v>1</v>
      </c>
      <c r="O38" s="137"/>
    </row>
    <row r="39" spans="1:15" s="345" customFormat="1">
      <c r="A39" s="346"/>
      <c r="B39" s="346"/>
      <c r="C39" s="346"/>
      <c r="D39" s="346"/>
      <c r="E39" s="349"/>
      <c r="F39" s="346"/>
      <c r="G39" s="371"/>
      <c r="H39" s="348"/>
      <c r="I39" s="349"/>
      <c r="J39" s="346"/>
      <c r="K39" s="371"/>
      <c r="L39" s="346"/>
      <c r="M39" s="346"/>
      <c r="N39" s="343" t="s">
        <v>1</v>
      </c>
      <c r="O39" s="137"/>
    </row>
    <row r="40" spans="1:15" s="345" customFormat="1" ht="15" customHeight="1">
      <c r="A40" s="346"/>
      <c r="B40" s="346"/>
      <c r="C40" s="346"/>
      <c r="D40" s="346"/>
      <c r="E40" s="346"/>
      <c r="F40" s="346"/>
      <c r="G40" s="346"/>
      <c r="H40" s="346"/>
      <c r="I40" s="346"/>
      <c r="J40" s="346"/>
      <c r="K40" s="346"/>
      <c r="L40" s="346"/>
      <c r="M40" s="346"/>
      <c r="N40" s="343" t="s">
        <v>1</v>
      </c>
      <c r="O40" s="137"/>
    </row>
    <row r="41" spans="1:15" s="345" customFormat="1" ht="42.75" customHeight="1">
      <c r="A41" s="630" t="s">
        <v>281</v>
      </c>
      <c r="B41" s="637"/>
      <c r="C41" s="637"/>
      <c r="D41" s="637"/>
      <c r="E41" s="637"/>
      <c r="F41" s="637"/>
      <c r="G41" s="637"/>
      <c r="H41" s="637"/>
      <c r="I41" s="637"/>
      <c r="J41" s="637"/>
      <c r="K41" s="637"/>
      <c r="L41" s="637"/>
      <c r="M41" s="346"/>
      <c r="N41" s="343" t="s">
        <v>1</v>
      </c>
      <c r="O41" s="137"/>
    </row>
    <row r="42" spans="1:15" s="345" customFormat="1" ht="15" customHeight="1">
      <c r="A42" s="342"/>
      <c r="B42" s="68"/>
      <c r="C42" s="68"/>
      <c r="D42" s="68"/>
      <c r="E42" s="68"/>
      <c r="F42" s="68"/>
      <c r="G42" s="68"/>
      <c r="H42" s="68"/>
      <c r="I42" s="68"/>
      <c r="J42" s="68"/>
      <c r="K42" s="68"/>
      <c r="L42" s="68"/>
      <c r="M42" s="346"/>
      <c r="N42" s="343" t="s">
        <v>1</v>
      </c>
      <c r="O42" s="137"/>
    </row>
    <row r="43" spans="1:15" s="345" customFormat="1" ht="34.5" customHeight="1">
      <c r="A43" s="647" t="s">
        <v>282</v>
      </c>
      <c r="B43" s="648"/>
      <c r="C43" s="648"/>
      <c r="D43" s="648"/>
      <c r="E43" s="648"/>
      <c r="F43" s="648"/>
      <c r="G43" s="648"/>
      <c r="H43" s="648"/>
      <c r="I43" s="648"/>
      <c r="J43" s="648"/>
      <c r="K43" s="648"/>
      <c r="L43" s="648"/>
      <c r="M43" s="648"/>
      <c r="N43" s="343" t="s">
        <v>1</v>
      </c>
      <c r="O43" s="137"/>
    </row>
    <row r="44" spans="1:15" s="345" customFormat="1" ht="15" customHeight="1">
      <c r="A44" s="346"/>
      <c r="B44" s="346"/>
      <c r="C44" s="346"/>
      <c r="D44" s="346"/>
      <c r="E44" s="177"/>
      <c r="F44" s="177"/>
      <c r="G44" s="177"/>
      <c r="J44" s="346"/>
      <c r="K44" s="346"/>
      <c r="L44" s="346"/>
      <c r="M44" s="346"/>
      <c r="N44" s="343" t="s">
        <v>1</v>
      </c>
      <c r="O44" s="137"/>
    </row>
    <row r="45" spans="1:15" s="345" customFormat="1" ht="33" customHeight="1">
      <c r="A45" s="630" t="s">
        <v>252</v>
      </c>
      <c r="B45" s="630"/>
      <c r="C45" s="630"/>
      <c r="D45" s="630"/>
      <c r="E45" s="630"/>
      <c r="F45" s="630"/>
      <c r="G45" s="630"/>
      <c r="H45" s="630"/>
      <c r="I45" s="630"/>
      <c r="J45" s="630"/>
      <c r="K45" s="630"/>
      <c r="L45" s="630"/>
      <c r="M45" s="346"/>
      <c r="N45" s="343" t="s">
        <v>1</v>
      </c>
      <c r="O45" s="137"/>
    </row>
    <row r="46" spans="1:15" s="345" customFormat="1" ht="15" customHeight="1">
      <c r="A46" s="346"/>
      <c r="B46" s="346"/>
      <c r="C46" s="346"/>
      <c r="D46" s="346"/>
      <c r="E46" s="346"/>
      <c r="F46" s="346"/>
      <c r="G46" s="346"/>
      <c r="H46" s="346"/>
      <c r="I46" s="346"/>
      <c r="J46" s="346"/>
      <c r="K46" s="346"/>
      <c r="L46" s="346"/>
      <c r="M46" s="346"/>
      <c r="N46" s="343" t="s">
        <v>1</v>
      </c>
      <c r="O46" s="137"/>
    </row>
    <row r="47" spans="1:15" s="345" customFormat="1" ht="57" customHeight="1">
      <c r="A47" s="634" t="s">
        <v>283</v>
      </c>
      <c r="B47" s="635"/>
      <c r="C47" s="635"/>
      <c r="D47" s="635"/>
      <c r="E47" s="635"/>
      <c r="F47" s="635"/>
      <c r="G47" s="635"/>
      <c r="H47" s="635"/>
      <c r="I47" s="635"/>
      <c r="J47" s="635"/>
      <c r="K47" s="635"/>
      <c r="L47" s="635"/>
      <c r="M47" s="635"/>
      <c r="N47" s="343" t="s">
        <v>1</v>
      </c>
      <c r="O47" s="137"/>
    </row>
    <row r="48" spans="1:15" s="345" customFormat="1" ht="15" customHeight="1">
      <c r="A48" s="342"/>
      <c r="B48" s="68"/>
      <c r="C48" s="68"/>
      <c r="D48" s="68"/>
      <c r="E48" s="68"/>
      <c r="F48" s="68"/>
      <c r="G48" s="68"/>
      <c r="H48" s="68"/>
      <c r="I48" s="68"/>
      <c r="J48" s="68"/>
      <c r="K48" s="68"/>
      <c r="L48" s="68"/>
      <c r="M48" s="68"/>
      <c r="N48" s="343" t="s">
        <v>1</v>
      </c>
      <c r="O48" s="137"/>
    </row>
    <row r="49" spans="1:15" s="345" customFormat="1" ht="35.25" customHeight="1">
      <c r="A49" s="634" t="s">
        <v>284</v>
      </c>
      <c r="B49" s="636"/>
      <c r="C49" s="636"/>
      <c r="D49" s="636"/>
      <c r="E49" s="636"/>
      <c r="F49" s="636"/>
      <c r="G49" s="636"/>
      <c r="H49" s="636"/>
      <c r="I49" s="636"/>
      <c r="J49" s="636"/>
      <c r="K49" s="636"/>
      <c r="L49" s="636"/>
      <c r="M49" s="636"/>
      <c r="N49" s="343" t="s">
        <v>1</v>
      </c>
      <c r="O49" s="137"/>
    </row>
    <row r="50" spans="1:15" s="345" customFormat="1" ht="15" customHeight="1">
      <c r="A50" s="342"/>
      <c r="B50" s="68"/>
      <c r="C50" s="68"/>
      <c r="D50" s="68"/>
      <c r="E50" s="68"/>
      <c r="F50" s="68"/>
      <c r="G50" s="68"/>
      <c r="H50" s="68"/>
      <c r="I50" s="68"/>
      <c r="J50" s="68"/>
      <c r="K50" s="68"/>
      <c r="L50" s="68"/>
      <c r="M50" s="68"/>
      <c r="N50" s="343" t="s">
        <v>1</v>
      </c>
      <c r="O50" s="137"/>
    </row>
    <row r="51" spans="1:15" s="345" customFormat="1" ht="29.25" customHeight="1">
      <c r="A51" s="630" t="s">
        <v>253</v>
      </c>
      <c r="B51" s="631"/>
      <c r="C51" s="631"/>
      <c r="D51" s="631"/>
      <c r="E51" s="631"/>
      <c r="F51" s="631"/>
      <c r="G51" s="631"/>
      <c r="H51" s="631"/>
      <c r="I51" s="631"/>
      <c r="J51" s="631"/>
      <c r="K51" s="631"/>
      <c r="L51" s="631"/>
      <c r="M51" s="631"/>
      <c r="N51" s="343" t="s">
        <v>1</v>
      </c>
      <c r="O51" s="137"/>
    </row>
    <row r="52" spans="1:15" s="345" customFormat="1" ht="15" customHeight="1">
      <c r="A52" s="342"/>
      <c r="B52" s="68"/>
      <c r="C52" s="68"/>
      <c r="D52" s="68"/>
      <c r="E52" s="68"/>
      <c r="F52" s="68"/>
      <c r="G52" s="68"/>
      <c r="H52" s="68"/>
      <c r="I52" s="68"/>
      <c r="J52" s="68"/>
      <c r="K52" s="68"/>
      <c r="L52" s="68"/>
      <c r="M52" s="68"/>
      <c r="N52" s="343" t="s">
        <v>1</v>
      </c>
      <c r="O52" s="137"/>
    </row>
    <row r="53" spans="1:15" s="345" customFormat="1" ht="61.5" customHeight="1">
      <c r="A53" s="632" t="s">
        <v>285</v>
      </c>
      <c r="B53" s="632"/>
      <c r="C53" s="632"/>
      <c r="D53" s="632"/>
      <c r="E53" s="632"/>
      <c r="F53" s="632"/>
      <c r="G53" s="632"/>
      <c r="H53" s="632"/>
      <c r="I53" s="632"/>
      <c r="J53" s="632"/>
      <c r="K53" s="632"/>
      <c r="L53" s="632"/>
      <c r="M53" s="632"/>
      <c r="N53" s="343" t="s">
        <v>1</v>
      </c>
      <c r="O53" s="137"/>
    </row>
    <row r="54" spans="1:15" s="345" customFormat="1" ht="15" customHeight="1">
      <c r="A54" s="342"/>
      <c r="B54" s="68"/>
      <c r="C54" s="68"/>
      <c r="D54" s="68"/>
      <c r="E54" s="68"/>
      <c r="F54" s="68"/>
      <c r="G54" s="68"/>
      <c r="H54" s="68"/>
      <c r="I54" s="68"/>
      <c r="J54" s="68"/>
      <c r="K54" s="68"/>
      <c r="L54" s="68"/>
      <c r="M54" s="68"/>
      <c r="N54" s="343" t="s">
        <v>1</v>
      </c>
      <c r="O54" s="137"/>
    </row>
    <row r="55" spans="1:15" s="345" customFormat="1" ht="33" customHeight="1">
      <c r="A55" s="639" t="s">
        <v>291</v>
      </c>
      <c r="B55" s="640"/>
      <c r="C55" s="640"/>
      <c r="D55" s="640"/>
      <c r="E55" s="640"/>
      <c r="F55" s="640"/>
      <c r="G55" s="640"/>
      <c r="H55" s="640"/>
      <c r="I55" s="640"/>
      <c r="J55" s="640"/>
      <c r="K55" s="640"/>
      <c r="L55" s="640"/>
      <c r="M55" s="640"/>
      <c r="N55" s="343" t="s">
        <v>1</v>
      </c>
      <c r="O55" s="137"/>
    </row>
    <row r="56" spans="1:15" s="345" customFormat="1" ht="15" customHeight="1">
      <c r="A56" s="342"/>
      <c r="B56" s="344"/>
      <c r="C56" s="344"/>
      <c r="D56" s="344"/>
      <c r="E56" s="344"/>
      <c r="F56" s="344"/>
      <c r="G56" s="344"/>
      <c r="H56" s="344"/>
      <c r="I56" s="344"/>
      <c r="J56" s="344"/>
      <c r="K56" s="344"/>
      <c r="L56" s="344"/>
      <c r="M56" s="344"/>
      <c r="N56" s="343" t="s">
        <v>1</v>
      </c>
      <c r="O56" s="137"/>
    </row>
    <row r="57" spans="1:15" s="345" customFormat="1" ht="59.25" customHeight="1">
      <c r="A57" s="645" t="s">
        <v>316</v>
      </c>
      <c r="B57" s="646"/>
      <c r="C57" s="646"/>
      <c r="D57" s="646"/>
      <c r="E57" s="646"/>
      <c r="F57" s="646"/>
      <c r="G57" s="646"/>
      <c r="H57" s="646"/>
      <c r="I57" s="646"/>
      <c r="J57" s="646"/>
      <c r="K57" s="646"/>
      <c r="L57" s="646"/>
      <c r="M57" s="646"/>
      <c r="N57" s="343" t="s">
        <v>1</v>
      </c>
      <c r="O57" s="137"/>
    </row>
    <row r="58" spans="1:15" s="345" customFormat="1" ht="15" customHeight="1">
      <c r="A58" s="342"/>
      <c r="B58" s="344"/>
      <c r="C58" s="344"/>
      <c r="D58" s="344"/>
      <c r="E58" s="344"/>
      <c r="F58" s="344"/>
      <c r="G58" s="344"/>
      <c r="H58" s="344"/>
      <c r="I58" s="344"/>
      <c r="J58" s="344"/>
      <c r="K58" s="344"/>
      <c r="L58" s="344"/>
      <c r="M58" s="344"/>
      <c r="N58" s="343" t="s">
        <v>1</v>
      </c>
      <c r="O58" s="137"/>
    </row>
    <row r="59" spans="1:15" s="345" customFormat="1" ht="42" customHeight="1">
      <c r="A59" s="630" t="s">
        <v>286</v>
      </c>
      <c r="B59" s="633"/>
      <c r="C59" s="633"/>
      <c r="D59" s="633"/>
      <c r="E59" s="633"/>
      <c r="F59" s="633"/>
      <c r="G59" s="633"/>
      <c r="H59" s="633"/>
      <c r="I59" s="633"/>
      <c r="J59" s="633"/>
      <c r="K59" s="633"/>
      <c r="L59" s="633"/>
      <c r="M59" s="633"/>
      <c r="N59" s="387" t="s">
        <v>1</v>
      </c>
      <c r="O59" s="137"/>
    </row>
    <row r="60" spans="1:15" s="345" customFormat="1" ht="40.5" customHeight="1">
      <c r="A60" s="630" t="s">
        <v>287</v>
      </c>
      <c r="B60" s="633"/>
      <c r="C60" s="633"/>
      <c r="D60" s="633"/>
      <c r="E60" s="633"/>
      <c r="F60" s="633"/>
      <c r="G60" s="633"/>
      <c r="H60" s="633"/>
      <c r="I60" s="633"/>
      <c r="J60" s="633"/>
      <c r="K60" s="633"/>
      <c r="L60" s="633"/>
      <c r="M60" s="633"/>
      <c r="N60" s="387" t="s">
        <v>1</v>
      </c>
      <c r="O60" s="137"/>
    </row>
    <row r="61" spans="1:15" s="345" customFormat="1" ht="15" customHeight="1">
      <c r="A61" s="342"/>
      <c r="B61" s="344"/>
      <c r="C61" s="344"/>
      <c r="D61" s="344"/>
      <c r="E61" s="344"/>
      <c r="F61" s="344"/>
      <c r="G61" s="344"/>
      <c r="H61" s="344"/>
      <c r="I61" s="344"/>
      <c r="J61" s="344"/>
      <c r="K61" s="344"/>
      <c r="L61" s="344"/>
      <c r="M61" s="344"/>
      <c r="N61" s="387" t="s">
        <v>1</v>
      </c>
      <c r="O61" s="137"/>
    </row>
    <row r="62" spans="1:15" s="345" customFormat="1" ht="41.25" customHeight="1">
      <c r="A62" s="630" t="s">
        <v>288</v>
      </c>
      <c r="B62" s="633"/>
      <c r="C62" s="633"/>
      <c r="D62" s="633"/>
      <c r="E62" s="633"/>
      <c r="F62" s="633"/>
      <c r="G62" s="633"/>
      <c r="H62" s="633"/>
      <c r="I62" s="633"/>
      <c r="J62" s="633"/>
      <c r="K62" s="633"/>
      <c r="L62" s="633"/>
      <c r="M62" s="633"/>
      <c r="N62" s="387" t="s">
        <v>1</v>
      </c>
      <c r="O62" s="137"/>
    </row>
    <row r="63" spans="1:15" s="345" customFormat="1" ht="15" customHeight="1">
      <c r="A63" s="342"/>
      <c r="B63" s="344"/>
      <c r="C63" s="344"/>
      <c r="D63" s="344"/>
      <c r="E63" s="344"/>
      <c r="F63" s="344"/>
      <c r="G63" s="344"/>
      <c r="H63" s="344"/>
      <c r="I63" s="344"/>
      <c r="J63" s="344"/>
      <c r="K63" s="344"/>
      <c r="L63" s="344"/>
      <c r="M63" s="344"/>
      <c r="N63" s="387" t="s">
        <v>1</v>
      </c>
      <c r="O63" s="137"/>
    </row>
    <row r="64" spans="1:15" s="345" customFormat="1" ht="41.25" customHeight="1">
      <c r="A64" s="630" t="s">
        <v>289</v>
      </c>
      <c r="B64" s="633"/>
      <c r="C64" s="633"/>
      <c r="D64" s="633"/>
      <c r="E64" s="633"/>
      <c r="F64" s="633"/>
      <c r="G64" s="633"/>
      <c r="H64" s="633"/>
      <c r="I64" s="633"/>
      <c r="J64" s="633"/>
      <c r="K64" s="633"/>
      <c r="L64" s="633"/>
      <c r="M64" s="633"/>
      <c r="N64" s="387" t="s">
        <v>1</v>
      </c>
      <c r="O64" s="137"/>
    </row>
    <row r="65" spans="1:15" s="345" customFormat="1" ht="15" customHeight="1">
      <c r="A65" s="342"/>
      <c r="B65" s="344"/>
      <c r="C65" s="344"/>
      <c r="D65" s="344"/>
      <c r="E65" s="344"/>
      <c r="F65" s="344"/>
      <c r="G65" s="344"/>
      <c r="H65" s="344"/>
      <c r="I65" s="344"/>
      <c r="J65" s="344"/>
      <c r="K65" s="344"/>
      <c r="L65" s="344"/>
      <c r="M65" s="344"/>
      <c r="N65" s="343"/>
      <c r="O65" s="137"/>
    </row>
    <row r="66" spans="1:15" s="345" customFormat="1" ht="34.5" customHeight="1">
      <c r="A66" s="634" t="s">
        <v>290</v>
      </c>
      <c r="B66" s="648"/>
      <c r="C66" s="648"/>
      <c r="D66" s="648"/>
      <c r="E66" s="648"/>
      <c r="F66" s="648"/>
      <c r="G66" s="648"/>
      <c r="H66" s="648"/>
      <c r="I66" s="648"/>
      <c r="J66" s="648"/>
      <c r="K66" s="648"/>
      <c r="L66" s="648"/>
      <c r="M66" s="648"/>
      <c r="N66" s="343" t="s">
        <v>1</v>
      </c>
      <c r="O66" s="137"/>
    </row>
    <row r="67" spans="1:15" s="345" customFormat="1" ht="15" customHeight="1">
      <c r="A67" s="342"/>
      <c r="B67" s="68"/>
      <c r="C67" s="68"/>
      <c r="D67" s="68"/>
      <c r="E67" s="68"/>
      <c r="F67" s="68"/>
      <c r="G67" s="68"/>
      <c r="H67" s="68"/>
      <c r="I67" s="68"/>
      <c r="J67" s="68"/>
      <c r="K67" s="68"/>
      <c r="L67" s="68"/>
      <c r="M67" s="68"/>
      <c r="N67" s="343" t="s">
        <v>1</v>
      </c>
      <c r="O67" s="137"/>
    </row>
    <row r="68" spans="1:15" s="345" customFormat="1" ht="0.75" customHeight="1">
      <c r="A68" s="630" t="s">
        <v>179</v>
      </c>
      <c r="B68" s="630"/>
      <c r="C68" s="630"/>
      <c r="D68" s="630"/>
      <c r="E68" s="630"/>
      <c r="F68" s="630"/>
      <c r="G68" s="630"/>
      <c r="H68" s="630"/>
      <c r="I68" s="630"/>
      <c r="J68" s="630"/>
      <c r="K68" s="630"/>
      <c r="L68" s="630"/>
      <c r="M68" s="630"/>
      <c r="N68" s="343" t="s">
        <v>1</v>
      </c>
      <c r="O68" s="137"/>
    </row>
    <row r="69" spans="1:15" s="345" customFormat="1" ht="0.75" customHeight="1">
      <c r="A69" s="342"/>
      <c r="B69" s="344"/>
      <c r="C69" s="344"/>
      <c r="D69" s="344"/>
      <c r="E69" s="344"/>
      <c r="F69" s="344"/>
      <c r="G69" s="344"/>
      <c r="H69" s="344"/>
      <c r="I69" s="344"/>
      <c r="J69" s="344"/>
      <c r="K69" s="344"/>
      <c r="L69" s="344"/>
      <c r="M69" s="344"/>
      <c r="N69" s="343" t="s">
        <v>1</v>
      </c>
      <c r="O69" s="137"/>
    </row>
    <row r="70" spans="1:15" s="345" customFormat="1" ht="0.75" customHeight="1">
      <c r="A70" s="342"/>
      <c r="B70" s="344"/>
      <c r="C70" s="344"/>
      <c r="D70" s="344"/>
      <c r="E70" s="344"/>
      <c r="F70" s="344"/>
      <c r="G70" s="344"/>
      <c r="H70" s="344"/>
      <c r="I70" s="344"/>
      <c r="J70" s="344"/>
      <c r="K70" s="344"/>
      <c r="L70" s="344"/>
      <c r="M70" s="344"/>
      <c r="N70" s="343" t="s">
        <v>1</v>
      </c>
      <c r="O70" s="137"/>
    </row>
    <row r="71" spans="1:15" s="345" customFormat="1" ht="0.75" customHeight="1">
      <c r="A71" s="342"/>
      <c r="B71" s="344"/>
      <c r="C71" s="344"/>
      <c r="D71" s="344"/>
      <c r="E71" s="344"/>
      <c r="F71" s="344"/>
      <c r="G71" s="344"/>
      <c r="H71" s="344"/>
      <c r="I71" s="344"/>
      <c r="J71" s="344"/>
      <c r="K71" s="344"/>
      <c r="L71" s="344"/>
      <c r="M71" s="344"/>
      <c r="N71" s="343" t="s">
        <v>1</v>
      </c>
      <c r="O71" s="137"/>
    </row>
    <row r="72" spans="1:15" s="345" customFormat="1" ht="0.75" customHeight="1">
      <c r="A72" s="342"/>
      <c r="B72" s="344"/>
      <c r="C72" s="344"/>
      <c r="D72" s="344"/>
      <c r="E72" s="344"/>
      <c r="F72" s="344"/>
      <c r="G72" s="344"/>
      <c r="H72" s="344"/>
      <c r="I72" s="344"/>
      <c r="J72" s="344"/>
      <c r="K72" s="344"/>
      <c r="L72" s="344"/>
      <c r="M72" s="344"/>
      <c r="N72" s="343" t="s">
        <v>1</v>
      </c>
      <c r="O72" s="137"/>
    </row>
    <row r="73" spans="1:15" s="345" customFormat="1" ht="0.75" customHeight="1">
      <c r="A73" s="342"/>
      <c r="B73" s="344"/>
      <c r="C73" s="344"/>
      <c r="D73" s="344"/>
      <c r="E73" s="344"/>
      <c r="F73" s="344"/>
      <c r="G73" s="344"/>
      <c r="H73" s="344"/>
      <c r="I73" s="344"/>
      <c r="J73" s="344"/>
      <c r="K73" s="344"/>
      <c r="L73" s="344"/>
      <c r="M73" s="344"/>
      <c r="N73" s="343" t="s">
        <v>1</v>
      </c>
      <c r="O73" s="137"/>
    </row>
    <row r="74" spans="1:15" s="345" customFormat="1" ht="0.75" customHeight="1">
      <c r="A74" s="342"/>
      <c r="B74" s="344"/>
      <c r="C74" s="344"/>
      <c r="D74" s="344"/>
      <c r="E74" s="344"/>
      <c r="F74" s="344"/>
      <c r="G74" s="344"/>
      <c r="H74" s="344"/>
      <c r="I74" s="344"/>
      <c r="J74" s="344"/>
      <c r="K74" s="344"/>
      <c r="L74" s="344"/>
      <c r="M74" s="344"/>
      <c r="N74" s="343" t="s">
        <v>1</v>
      </c>
      <c r="O74" s="137"/>
    </row>
    <row r="75" spans="1:15" s="345" customFormat="1" ht="0.75" customHeight="1">
      <c r="A75" s="342"/>
      <c r="B75" s="344"/>
      <c r="C75" s="344"/>
      <c r="D75" s="344"/>
      <c r="E75" s="344"/>
      <c r="F75" s="344"/>
      <c r="G75" s="344"/>
      <c r="H75" s="344"/>
      <c r="I75" s="344"/>
      <c r="J75" s="344"/>
      <c r="K75" s="344"/>
      <c r="L75" s="344"/>
      <c r="M75" s="344"/>
      <c r="N75" s="343" t="s">
        <v>1</v>
      </c>
      <c r="O75" s="137"/>
    </row>
    <row r="76" spans="1:15" s="345" customFormat="1" ht="0.75" customHeight="1">
      <c r="A76" s="342"/>
      <c r="B76" s="344"/>
      <c r="C76" s="344"/>
      <c r="D76" s="344"/>
      <c r="E76" s="344"/>
      <c r="F76" s="344"/>
      <c r="G76" s="344"/>
      <c r="H76" s="344"/>
      <c r="I76" s="344"/>
      <c r="J76" s="344"/>
      <c r="K76" s="344"/>
      <c r="L76" s="344"/>
      <c r="M76" s="344"/>
      <c r="N76" s="343" t="s">
        <v>1</v>
      </c>
      <c r="O76" s="137"/>
    </row>
    <row r="77" spans="1:15" s="345" customFormat="1" ht="0.75" customHeight="1">
      <c r="A77" s="342"/>
      <c r="B77" s="344"/>
      <c r="C77" s="344"/>
      <c r="D77" s="344"/>
      <c r="E77" s="344"/>
      <c r="F77" s="344"/>
      <c r="G77" s="344"/>
      <c r="H77" s="344"/>
      <c r="I77" s="344"/>
      <c r="J77" s="344"/>
      <c r="K77" s="344"/>
      <c r="L77" s="344"/>
      <c r="M77" s="344"/>
      <c r="N77" s="343" t="s">
        <v>1</v>
      </c>
      <c r="O77" s="137"/>
    </row>
    <row r="78" spans="1:15" s="345" customFormat="1" ht="0.75" customHeight="1">
      <c r="A78" s="342"/>
      <c r="B78" s="344"/>
      <c r="C78" s="344"/>
      <c r="D78" s="344"/>
      <c r="E78" s="344"/>
      <c r="F78" s="344"/>
      <c r="G78" s="344"/>
      <c r="H78" s="344"/>
      <c r="I78" s="344"/>
      <c r="J78" s="344"/>
      <c r="K78" s="344"/>
      <c r="L78" s="344"/>
      <c r="M78" s="344"/>
      <c r="N78" s="343" t="s">
        <v>1</v>
      </c>
      <c r="O78" s="137"/>
    </row>
    <row r="79" spans="1:15" s="345" customFormat="1" ht="0.75" customHeight="1">
      <c r="A79" s="342"/>
      <c r="B79" s="344"/>
      <c r="C79" s="344"/>
      <c r="D79" s="344"/>
      <c r="E79" s="344"/>
      <c r="F79" s="344"/>
      <c r="G79" s="344"/>
      <c r="H79" s="344"/>
      <c r="I79" s="344"/>
      <c r="J79" s="344"/>
      <c r="K79" s="344"/>
      <c r="L79" s="344"/>
      <c r="M79" s="344"/>
      <c r="N79" s="343" t="s">
        <v>1</v>
      </c>
      <c r="O79" s="137"/>
    </row>
    <row r="80" spans="1:15" s="345" customFormat="1" ht="0.75" customHeight="1">
      <c r="A80" s="342"/>
      <c r="B80" s="344"/>
      <c r="C80" s="344"/>
      <c r="D80" s="344"/>
      <c r="E80" s="344"/>
      <c r="F80" s="344"/>
      <c r="G80" s="344"/>
      <c r="H80" s="344"/>
      <c r="I80" s="344"/>
      <c r="J80" s="344"/>
      <c r="K80" s="344"/>
      <c r="L80" s="344"/>
      <c r="M80" s="344"/>
      <c r="N80" s="343" t="s">
        <v>1</v>
      </c>
      <c r="O80" s="137"/>
    </row>
    <row r="81" spans="1:15" s="345" customFormat="1" ht="0.75" customHeight="1">
      <c r="A81" s="342"/>
      <c r="B81" s="344"/>
      <c r="C81" s="344"/>
      <c r="D81" s="344"/>
      <c r="E81" s="344"/>
      <c r="F81" s="344"/>
      <c r="G81" s="344"/>
      <c r="H81" s="344"/>
      <c r="I81" s="344"/>
      <c r="J81" s="344"/>
      <c r="K81" s="344"/>
      <c r="L81" s="344"/>
      <c r="M81" s="344"/>
      <c r="N81" s="343" t="s">
        <v>1</v>
      </c>
      <c r="O81" s="137"/>
    </row>
    <row r="82" spans="1:15" s="345" customFormat="1">
      <c r="A82" s="342"/>
      <c r="B82" s="344"/>
      <c r="C82" s="344"/>
      <c r="D82" s="344"/>
      <c r="E82" s="344"/>
      <c r="F82" s="344"/>
      <c r="G82" s="344"/>
      <c r="H82" s="344"/>
      <c r="I82" s="344"/>
      <c r="J82" s="344"/>
      <c r="K82" s="344"/>
      <c r="L82" s="344"/>
      <c r="M82" s="344"/>
      <c r="N82" s="343" t="s">
        <v>1</v>
      </c>
      <c r="O82" s="137"/>
    </row>
    <row r="83" spans="1:15" s="345" customFormat="1">
      <c r="A83" s="649" t="s">
        <v>201</v>
      </c>
      <c r="B83" s="650"/>
      <c r="C83" s="650"/>
      <c r="D83" s="650"/>
      <c r="E83" s="650"/>
      <c r="F83" s="650"/>
      <c r="G83" s="650"/>
      <c r="H83" s="650"/>
      <c r="I83" s="650"/>
      <c r="J83" s="650"/>
      <c r="K83" s="650"/>
      <c r="L83" s="650"/>
      <c r="M83" s="650"/>
      <c r="N83" s="343" t="s">
        <v>1</v>
      </c>
      <c r="O83" s="137"/>
    </row>
    <row r="84" spans="1:15" s="345" customFormat="1" ht="12.75" customHeight="1">
      <c r="A84" s="634"/>
      <c r="B84" s="635"/>
      <c r="C84" s="635"/>
      <c r="D84" s="635"/>
      <c r="E84" s="635"/>
      <c r="F84" s="635"/>
      <c r="G84" s="635"/>
      <c r="H84" s="635"/>
      <c r="I84" s="635"/>
      <c r="J84" s="635"/>
      <c r="K84" s="635"/>
      <c r="L84" s="635"/>
      <c r="M84" s="351"/>
      <c r="N84" s="343" t="s">
        <v>1</v>
      </c>
      <c r="O84" s="346"/>
    </row>
    <row r="85" spans="1:15" s="345" customFormat="1" ht="33.75" customHeight="1">
      <c r="A85" s="645" t="s">
        <v>314</v>
      </c>
      <c r="B85" s="646"/>
      <c r="C85" s="646"/>
      <c r="D85" s="646"/>
      <c r="E85" s="646"/>
      <c r="F85" s="646"/>
      <c r="G85" s="646"/>
      <c r="H85" s="646"/>
      <c r="I85" s="646"/>
      <c r="J85" s="646"/>
      <c r="K85" s="646"/>
      <c r="L85" s="646"/>
      <c r="M85" s="646"/>
      <c r="N85" s="343" t="s">
        <v>1</v>
      </c>
      <c r="O85" s="137"/>
    </row>
    <row r="86" spans="1:15" s="345" customFormat="1" ht="12.75" customHeight="1">
      <c r="A86" s="368"/>
      <c r="B86" s="369"/>
      <c r="C86" s="369"/>
      <c r="D86" s="369"/>
      <c r="E86" s="369"/>
      <c r="F86" s="369"/>
      <c r="G86" s="369"/>
      <c r="H86" s="369"/>
      <c r="I86" s="369"/>
      <c r="J86" s="369"/>
      <c r="K86" s="369"/>
      <c r="L86" s="369"/>
      <c r="M86" s="351"/>
      <c r="N86" s="352" t="s">
        <v>41</v>
      </c>
      <c r="O86" s="343"/>
    </row>
    <row r="87" spans="1:15" s="345" customFormat="1" ht="14.25" customHeight="1">
      <c r="A87" s="346"/>
      <c r="B87" s="346"/>
      <c r="C87" s="346"/>
      <c r="D87" s="346"/>
      <c r="E87" s="346"/>
      <c r="F87" s="346"/>
      <c r="G87" s="346"/>
      <c r="H87" s="346"/>
      <c r="I87" s="346"/>
      <c r="J87" s="346"/>
      <c r="K87" s="346"/>
      <c r="L87" s="346"/>
      <c r="M87" s="346"/>
      <c r="N87" s="352"/>
      <c r="O87" s="346"/>
    </row>
  </sheetData>
  <mergeCells count="30">
    <mergeCell ref="A83:M83"/>
    <mergeCell ref="A60:M60"/>
    <mergeCell ref="A62:M62"/>
    <mergeCell ref="A64:M64"/>
    <mergeCell ref="A84:L84"/>
    <mergeCell ref="A85:M85"/>
    <mergeCell ref="A43:M43"/>
    <mergeCell ref="A3:M3"/>
    <mergeCell ref="A4:M4"/>
    <mergeCell ref="A7:M7"/>
    <mergeCell ref="A13:M13"/>
    <mergeCell ref="A66:M66"/>
    <mergeCell ref="A57:M57"/>
    <mergeCell ref="A68:M68"/>
    <mergeCell ref="A41:L41"/>
    <mergeCell ref="A1:M1"/>
    <mergeCell ref="A55:M55"/>
    <mergeCell ref="A9:M9"/>
    <mergeCell ref="I17:I18"/>
    <mergeCell ref="K17:K18"/>
    <mergeCell ref="A11:M11"/>
    <mergeCell ref="A15:M15"/>
    <mergeCell ref="E17:E18"/>
    <mergeCell ref="G17:G18"/>
    <mergeCell ref="A51:M51"/>
    <mergeCell ref="A45:L45"/>
    <mergeCell ref="A53:M53"/>
    <mergeCell ref="A59:M59"/>
    <mergeCell ref="A47:M47"/>
    <mergeCell ref="A49:M49"/>
  </mergeCells>
  <phoneticPr fontId="0" type="noConversion"/>
  <pageMargins left="0.75" right="0.75" top="1" bottom="1" header="0.5" footer="0.5"/>
  <pageSetup orientation="landscape" r:id="rId1"/>
  <headerFooter alignWithMargins="0">
    <oddFooter>&amp;C&amp;"Times New Roman,Regular"&amp;11Exhibit E - Justification for Base Adjustments</oddFooter>
  </headerFooter>
  <rowBreaks count="2" manualBreakCount="2">
    <brk id="16" max="13" man="1"/>
    <brk id="56" max="13"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E36"/>
  <sheetViews>
    <sheetView showGridLines="0" showOutlineSymbols="0" view="pageBreakPreview" zoomScaleNormal="80" zoomScaleSheetLayoutView="100" workbookViewId="0">
      <selection activeCell="A12" sqref="A12:B12"/>
    </sheetView>
  </sheetViews>
  <sheetFormatPr defaultColWidth="9.6640625" defaultRowHeight="15.75"/>
  <cols>
    <col min="1" max="1" width="3.77734375" style="16" customWidth="1"/>
    <col min="2" max="2" width="25.44140625" style="16" customWidth="1"/>
    <col min="3" max="3" width="5.6640625" style="16" customWidth="1"/>
    <col min="4" max="4" width="6.77734375" style="16" customWidth="1"/>
    <col min="5" max="5" width="10.77734375" style="16" customWidth="1"/>
    <col min="6" max="7" width="5.6640625" style="16" customWidth="1"/>
    <col min="8" max="8" width="7.77734375" style="16" customWidth="1"/>
    <col min="9" max="9" width="5.5546875" style="16" customWidth="1"/>
    <col min="10" max="10" width="5.6640625" style="16" customWidth="1"/>
    <col min="11" max="11" width="7.77734375" style="16" customWidth="1"/>
    <col min="12" max="13" width="5.6640625" style="16" customWidth="1"/>
    <col min="14" max="14" width="8.77734375" style="16" customWidth="1"/>
    <col min="15" max="15" width="5.6640625" style="16" customWidth="1"/>
    <col min="16" max="16" width="6.77734375" style="16" customWidth="1"/>
    <col min="17" max="17" width="10.109375" style="16" bestFit="1" customWidth="1"/>
    <col min="18" max="18" width="1" style="196" customWidth="1"/>
    <col min="19" max="16384" width="9.6640625" style="16"/>
  </cols>
  <sheetData>
    <row r="1" spans="1:31" ht="20.25">
      <c r="A1" s="495" t="s">
        <v>12</v>
      </c>
      <c r="B1" s="496"/>
      <c r="C1" s="496"/>
      <c r="D1" s="496"/>
      <c r="E1" s="496"/>
      <c r="F1" s="496"/>
      <c r="G1" s="496"/>
      <c r="H1" s="496"/>
      <c r="I1" s="496"/>
      <c r="J1" s="496"/>
      <c r="K1" s="496"/>
      <c r="L1" s="496"/>
      <c r="M1" s="496"/>
      <c r="N1" s="496"/>
      <c r="O1" s="496"/>
      <c r="P1" s="496"/>
      <c r="Q1" s="496"/>
      <c r="R1" s="195" t="s">
        <v>1</v>
      </c>
    </row>
    <row r="2" spans="1:31">
      <c r="A2" s="1"/>
      <c r="B2" s="1"/>
      <c r="C2" s="1"/>
      <c r="D2" s="1"/>
      <c r="E2" s="1"/>
      <c r="F2" s="1"/>
      <c r="G2" s="1"/>
      <c r="H2" s="1"/>
      <c r="I2" s="1"/>
      <c r="J2" s="1"/>
      <c r="K2" s="1"/>
      <c r="L2" s="1"/>
      <c r="M2" s="1"/>
      <c r="N2" s="1"/>
      <c r="O2" s="1"/>
      <c r="P2" s="1"/>
      <c r="Q2" s="1"/>
      <c r="R2" s="195" t="s">
        <v>1</v>
      </c>
    </row>
    <row r="3" spans="1:31" ht="18.75">
      <c r="A3" s="679" t="s">
        <v>6</v>
      </c>
      <c r="B3" s="500"/>
      <c r="C3" s="500"/>
      <c r="D3" s="500"/>
      <c r="E3" s="500"/>
      <c r="F3" s="500"/>
      <c r="G3" s="500"/>
      <c r="H3" s="500"/>
      <c r="I3" s="500"/>
      <c r="J3" s="500"/>
      <c r="K3" s="500"/>
      <c r="L3" s="500"/>
      <c r="M3" s="500"/>
      <c r="N3" s="500"/>
      <c r="O3" s="500"/>
      <c r="P3" s="500"/>
      <c r="Q3" s="500"/>
      <c r="R3" s="195" t="s">
        <v>1</v>
      </c>
    </row>
    <row r="4" spans="1:31" ht="16.5">
      <c r="A4" s="680" t="str">
        <f>+'B. Summary of Requirements '!A5</f>
        <v>Bureau of Alcohol, Tobacco, Firearms and Explosives</v>
      </c>
      <c r="B4" s="502"/>
      <c r="C4" s="502"/>
      <c r="D4" s="502"/>
      <c r="E4" s="502"/>
      <c r="F4" s="502"/>
      <c r="G4" s="502"/>
      <c r="H4" s="502"/>
      <c r="I4" s="502"/>
      <c r="J4" s="502"/>
      <c r="K4" s="502"/>
      <c r="L4" s="502"/>
      <c r="M4" s="502"/>
      <c r="N4" s="502"/>
      <c r="O4" s="502"/>
      <c r="P4" s="502"/>
      <c r="Q4" s="502"/>
      <c r="R4" s="195" t="s">
        <v>1</v>
      </c>
    </row>
    <row r="5" spans="1:31" ht="16.5">
      <c r="A5" s="680" t="str">
        <f>+'B. Summary of Requirements '!A6</f>
        <v>Salaries and Expenses</v>
      </c>
      <c r="B5" s="500"/>
      <c r="C5" s="500"/>
      <c r="D5" s="500"/>
      <c r="E5" s="500"/>
      <c r="F5" s="500"/>
      <c r="G5" s="500"/>
      <c r="H5" s="500"/>
      <c r="I5" s="500"/>
      <c r="J5" s="500"/>
      <c r="K5" s="500"/>
      <c r="L5" s="500"/>
      <c r="M5" s="500"/>
      <c r="N5" s="500"/>
      <c r="O5" s="500"/>
      <c r="P5" s="500"/>
      <c r="Q5" s="500"/>
      <c r="R5" s="195" t="s">
        <v>1</v>
      </c>
    </row>
    <row r="6" spans="1:31">
      <c r="A6" s="681" t="s">
        <v>204</v>
      </c>
      <c r="B6" s="502"/>
      <c r="C6" s="502"/>
      <c r="D6" s="502"/>
      <c r="E6" s="502"/>
      <c r="F6" s="502"/>
      <c r="G6" s="502"/>
      <c r="H6" s="502"/>
      <c r="I6" s="502"/>
      <c r="J6" s="502"/>
      <c r="K6" s="502"/>
      <c r="L6" s="502"/>
      <c r="M6" s="502"/>
      <c r="N6" s="502"/>
      <c r="O6" s="502"/>
      <c r="P6" s="502"/>
      <c r="Q6" s="502"/>
      <c r="R6" s="195" t="s">
        <v>1</v>
      </c>
    </row>
    <row r="7" spans="1:31">
      <c r="A7" s="1"/>
      <c r="B7" s="1"/>
      <c r="C7" s="1"/>
      <c r="D7" s="1"/>
      <c r="E7" s="1"/>
      <c r="F7" s="18"/>
      <c r="G7" s="18"/>
      <c r="H7" s="18"/>
      <c r="I7" s="18"/>
      <c r="J7" s="18"/>
      <c r="K7" s="18"/>
      <c r="L7" s="1"/>
      <c r="M7" s="1"/>
      <c r="N7" s="1"/>
      <c r="O7" s="1"/>
      <c r="P7" s="1"/>
      <c r="Q7" s="1"/>
      <c r="R7" s="195" t="s">
        <v>1</v>
      </c>
    </row>
    <row r="8" spans="1:31">
      <c r="A8" s="1"/>
      <c r="B8" s="1"/>
      <c r="C8" s="18"/>
      <c r="D8" s="18"/>
      <c r="E8" s="18"/>
      <c r="F8" s="18"/>
      <c r="G8" s="18"/>
      <c r="H8" s="18"/>
      <c r="I8" s="18"/>
      <c r="J8" s="18"/>
      <c r="K8" s="18"/>
      <c r="L8" s="1"/>
      <c r="M8" s="1"/>
      <c r="N8" s="1"/>
      <c r="O8" s="20"/>
      <c r="P8" s="18"/>
      <c r="Q8" s="18"/>
      <c r="R8" s="195" t="s">
        <v>1</v>
      </c>
    </row>
    <row r="9" spans="1:31">
      <c r="A9" s="672" t="s">
        <v>81</v>
      </c>
      <c r="B9" s="673"/>
      <c r="C9" s="658" t="s">
        <v>164</v>
      </c>
      <c r="D9" s="659"/>
      <c r="E9" s="660"/>
      <c r="F9" s="666" t="s">
        <v>219</v>
      </c>
      <c r="G9" s="558"/>
      <c r="H9" s="559"/>
      <c r="I9" s="658" t="s">
        <v>39</v>
      </c>
      <c r="J9" s="659"/>
      <c r="K9" s="660"/>
      <c r="L9" s="658" t="s">
        <v>40</v>
      </c>
      <c r="M9" s="659"/>
      <c r="N9" s="660"/>
      <c r="O9" s="658" t="s">
        <v>7</v>
      </c>
      <c r="P9" s="659"/>
      <c r="Q9" s="660"/>
      <c r="R9" s="195" t="s">
        <v>1</v>
      </c>
    </row>
    <row r="10" spans="1:31" ht="18" customHeight="1">
      <c r="A10" s="674"/>
      <c r="B10" s="675"/>
      <c r="C10" s="661"/>
      <c r="D10" s="662"/>
      <c r="E10" s="663"/>
      <c r="F10" s="560"/>
      <c r="G10" s="561"/>
      <c r="H10" s="562"/>
      <c r="I10" s="661"/>
      <c r="J10" s="662"/>
      <c r="K10" s="663"/>
      <c r="L10" s="661"/>
      <c r="M10" s="662"/>
      <c r="N10" s="663"/>
      <c r="O10" s="661"/>
      <c r="P10" s="662"/>
      <c r="Q10" s="663"/>
      <c r="R10" s="195" t="s">
        <v>1</v>
      </c>
    </row>
    <row r="11" spans="1:31" ht="21.75" customHeight="1" thickBot="1">
      <c r="A11" s="676"/>
      <c r="B11" s="677"/>
      <c r="C11" s="102" t="s">
        <v>225</v>
      </c>
      <c r="D11" s="83" t="s">
        <v>85</v>
      </c>
      <c r="E11" s="83" t="s">
        <v>227</v>
      </c>
      <c r="F11" s="102" t="s">
        <v>225</v>
      </c>
      <c r="G11" s="83" t="s">
        <v>85</v>
      </c>
      <c r="H11" s="83" t="s">
        <v>227</v>
      </c>
      <c r="I11" s="102" t="s">
        <v>225</v>
      </c>
      <c r="J11" s="83" t="s">
        <v>85</v>
      </c>
      <c r="K11" s="83" t="s">
        <v>227</v>
      </c>
      <c r="L11" s="102" t="s">
        <v>225</v>
      </c>
      <c r="M11" s="83" t="s">
        <v>85</v>
      </c>
      <c r="N11" s="83" t="s">
        <v>227</v>
      </c>
      <c r="O11" s="102" t="s">
        <v>225</v>
      </c>
      <c r="P11" s="83" t="s">
        <v>85</v>
      </c>
      <c r="Q11" s="103" t="s">
        <v>227</v>
      </c>
      <c r="R11" s="195" t="s">
        <v>1</v>
      </c>
    </row>
    <row r="12" spans="1:31">
      <c r="A12" s="670" t="s">
        <v>254</v>
      </c>
      <c r="B12" s="671"/>
      <c r="C12" s="414">
        <v>3594</v>
      </c>
      <c r="D12" s="403">
        <v>3547</v>
      </c>
      <c r="E12" s="403">
        <v>759035</v>
      </c>
      <c r="F12" s="414"/>
      <c r="G12" s="403"/>
      <c r="H12" s="403">
        <v>8789</v>
      </c>
      <c r="I12" s="414"/>
      <c r="J12" s="403"/>
      <c r="K12" s="403">
        <v>20116</v>
      </c>
      <c r="L12" s="414"/>
      <c r="M12" s="403"/>
      <c r="N12" s="403">
        <v>27815</v>
      </c>
      <c r="O12" s="414">
        <f>C12+F12+I12+L12</f>
        <v>3594</v>
      </c>
      <c r="P12" s="403">
        <f>D12++G12+J12+M12</f>
        <v>3547</v>
      </c>
      <c r="Q12" s="415">
        <f>E12+H12+K12+N12</f>
        <v>815755</v>
      </c>
      <c r="R12" s="195" t="s">
        <v>1</v>
      </c>
    </row>
    <row r="13" spans="1:31">
      <c r="A13" s="654" t="s">
        <v>255</v>
      </c>
      <c r="B13" s="655"/>
      <c r="C13" s="414">
        <v>1321</v>
      </c>
      <c r="D13" s="403">
        <v>1320</v>
      </c>
      <c r="E13" s="403">
        <v>274096</v>
      </c>
      <c r="F13" s="414"/>
      <c r="G13" s="403"/>
      <c r="H13" s="403">
        <v>5211</v>
      </c>
      <c r="I13" s="414"/>
      <c r="J13" s="403"/>
      <c r="K13" s="403">
        <v>3478</v>
      </c>
      <c r="L13" s="414"/>
      <c r="M13" s="403"/>
      <c r="N13" s="403">
        <v>18194</v>
      </c>
      <c r="O13" s="414">
        <f>C13+F13+I13+L13</f>
        <v>1321</v>
      </c>
      <c r="P13" s="403">
        <f>D13+G13+J13+M13</f>
        <v>1320</v>
      </c>
      <c r="Q13" s="415">
        <f>E13+H13+K13+N13</f>
        <v>300979</v>
      </c>
      <c r="R13" s="195" t="s">
        <v>1</v>
      </c>
    </row>
    <row r="14" spans="1:31">
      <c r="A14" s="89" t="s">
        <v>256</v>
      </c>
      <c r="B14" s="33"/>
      <c r="C14" s="238">
        <v>93</v>
      </c>
      <c r="D14" s="239">
        <v>90</v>
      </c>
      <c r="E14" s="239">
        <v>21084</v>
      </c>
      <c r="F14" s="238"/>
      <c r="G14" s="239"/>
      <c r="H14" s="239">
        <v>0</v>
      </c>
      <c r="I14" s="238"/>
      <c r="J14" s="239"/>
      <c r="K14" s="239">
        <v>268</v>
      </c>
      <c r="L14" s="238"/>
      <c r="M14" s="239"/>
      <c r="N14" s="239">
        <v>667</v>
      </c>
      <c r="O14" s="238">
        <f>C14+F14+I14+L14</f>
        <v>93</v>
      </c>
      <c r="P14" s="239">
        <f>D14+G14+J14+M14</f>
        <v>90</v>
      </c>
      <c r="Q14" s="240">
        <f>E14+H14+K14+N14</f>
        <v>22019</v>
      </c>
      <c r="R14" s="195" t="s">
        <v>1</v>
      </c>
    </row>
    <row r="15" spans="1:31">
      <c r="A15" s="667" t="s">
        <v>232</v>
      </c>
      <c r="B15" s="668"/>
      <c r="C15" s="416">
        <f>SUM(C12:C14)</f>
        <v>5008</v>
      </c>
      <c r="D15" s="417">
        <f>SUM(D12:D14)</f>
        <v>4957</v>
      </c>
      <c r="E15" s="418">
        <f>SUM(E12:E14)</f>
        <v>1054215</v>
      </c>
      <c r="F15" s="416">
        <f>SUM(F12:F14)</f>
        <v>0</v>
      </c>
      <c r="G15" s="417">
        <f>SUM(G12:G14)</f>
        <v>0</v>
      </c>
      <c r="H15" s="418">
        <f t="shared" ref="H15:Q15" si="0">SUM(H12:H14)</f>
        <v>14000</v>
      </c>
      <c r="I15" s="416">
        <f t="shared" si="0"/>
        <v>0</v>
      </c>
      <c r="J15" s="417">
        <f t="shared" si="0"/>
        <v>0</v>
      </c>
      <c r="K15" s="418">
        <f t="shared" si="0"/>
        <v>23862</v>
      </c>
      <c r="L15" s="416">
        <f t="shared" si="0"/>
        <v>0</v>
      </c>
      <c r="M15" s="417">
        <f t="shared" si="0"/>
        <v>0</v>
      </c>
      <c r="N15" s="418">
        <f t="shared" si="0"/>
        <v>46676</v>
      </c>
      <c r="O15" s="416">
        <f t="shared" si="0"/>
        <v>5008</v>
      </c>
      <c r="P15" s="417">
        <f t="shared" si="0"/>
        <v>4957</v>
      </c>
      <c r="Q15" s="419">
        <f t="shared" si="0"/>
        <v>1138753</v>
      </c>
      <c r="R15" s="195" t="s">
        <v>1</v>
      </c>
    </row>
    <row r="16" spans="1:31">
      <c r="A16" s="669" t="s">
        <v>212</v>
      </c>
      <c r="B16" s="657"/>
      <c r="C16" s="238" t="s">
        <v>226</v>
      </c>
      <c r="D16" s="239">
        <v>55</v>
      </c>
      <c r="E16" s="239"/>
      <c r="F16" s="238"/>
      <c r="G16" s="239"/>
      <c r="H16" s="239"/>
      <c r="I16" s="238"/>
      <c r="J16" s="239"/>
      <c r="K16" s="239"/>
      <c r="L16" s="238"/>
      <c r="M16" s="239"/>
      <c r="N16" s="239"/>
      <c r="O16" s="238"/>
      <c r="P16" s="239">
        <f>D16+G16+J16+M16</f>
        <v>55</v>
      </c>
      <c r="Q16" s="240"/>
      <c r="R16" s="195" t="s">
        <v>1</v>
      </c>
      <c r="S16" s="22"/>
      <c r="T16" s="22"/>
      <c r="U16" s="22"/>
      <c r="V16" s="22"/>
      <c r="W16" s="22"/>
      <c r="X16" s="22"/>
      <c r="Y16" s="22"/>
      <c r="Z16" s="22"/>
      <c r="AA16" s="22"/>
      <c r="AB16" s="22"/>
      <c r="AC16" s="22"/>
      <c r="AD16" s="22"/>
      <c r="AE16" s="22"/>
    </row>
    <row r="17" spans="1:19">
      <c r="A17" s="669" t="s">
        <v>211</v>
      </c>
      <c r="B17" s="657"/>
      <c r="C17" s="420"/>
      <c r="D17" s="421">
        <f>SUM(D15:D16)</f>
        <v>5012</v>
      </c>
      <c r="E17" s="421"/>
      <c r="F17" s="420"/>
      <c r="G17" s="421">
        <f>+G15+G16</f>
        <v>0</v>
      </c>
      <c r="H17" s="421"/>
      <c r="I17" s="420"/>
      <c r="J17" s="421">
        <f>+J15+J16</f>
        <v>0</v>
      </c>
      <c r="K17" s="421"/>
      <c r="L17" s="420"/>
      <c r="M17" s="421">
        <f>+M15+M16</f>
        <v>0</v>
      </c>
      <c r="N17" s="421"/>
      <c r="O17" s="420"/>
      <c r="P17" s="421">
        <f>SUM(P15:P16)</f>
        <v>5012</v>
      </c>
      <c r="Q17" s="422"/>
      <c r="R17" s="195" t="s">
        <v>1</v>
      </c>
    </row>
    <row r="18" spans="1:19">
      <c r="A18" s="664" t="s">
        <v>213</v>
      </c>
      <c r="B18" s="665"/>
      <c r="C18" s="414"/>
      <c r="D18" s="403"/>
      <c r="E18" s="403"/>
      <c r="F18" s="414"/>
      <c r="G18" s="403"/>
      <c r="H18" s="403"/>
      <c r="I18" s="414"/>
      <c r="J18" s="403"/>
      <c r="K18" s="403"/>
      <c r="L18" s="414"/>
      <c r="M18" s="403"/>
      <c r="N18" s="403"/>
      <c r="O18" s="414"/>
      <c r="P18" s="403"/>
      <c r="Q18" s="415"/>
      <c r="R18" s="195" t="s">
        <v>1</v>
      </c>
    </row>
    <row r="19" spans="1:19">
      <c r="A19" s="652" t="s">
        <v>91</v>
      </c>
      <c r="B19" s="653"/>
      <c r="C19" s="414"/>
      <c r="D19" s="423">
        <f>ROUNDUP((((2*261)*2533)/2088),0)</f>
        <v>634</v>
      </c>
      <c r="E19" s="403"/>
      <c r="F19" s="414"/>
      <c r="G19" s="403"/>
      <c r="H19" s="403"/>
      <c r="I19" s="414"/>
      <c r="J19" s="403"/>
      <c r="K19" s="403"/>
      <c r="L19" s="414"/>
      <c r="M19" s="403"/>
      <c r="N19" s="403"/>
      <c r="O19" s="414"/>
      <c r="P19" s="403">
        <f>D19+G19+J19+M19</f>
        <v>634</v>
      </c>
      <c r="Q19" s="415"/>
      <c r="R19" s="195" t="s">
        <v>1</v>
      </c>
    </row>
    <row r="20" spans="1:19">
      <c r="A20" s="682" t="s">
        <v>145</v>
      </c>
      <c r="B20" s="683"/>
      <c r="C20" s="238"/>
      <c r="D20" s="424">
        <f>ROUNDUP(39449/2088,0)</f>
        <v>19</v>
      </c>
      <c r="E20" s="239"/>
      <c r="F20" s="238"/>
      <c r="G20" s="239"/>
      <c r="H20" s="239"/>
      <c r="I20" s="238"/>
      <c r="J20" s="239"/>
      <c r="K20" s="239"/>
      <c r="L20" s="238"/>
      <c r="M20" s="424">
        <f>ROUNDUP(10330/2088,0)</f>
        <v>5</v>
      </c>
      <c r="N20" s="239"/>
      <c r="O20" s="238"/>
      <c r="P20" s="239">
        <f>D20+G20+J20+M20</f>
        <v>24</v>
      </c>
      <c r="Q20" s="240"/>
      <c r="R20" s="195" t="s">
        <v>1</v>
      </c>
    </row>
    <row r="21" spans="1:19">
      <c r="A21" s="656" t="s">
        <v>214</v>
      </c>
      <c r="B21" s="657"/>
      <c r="C21" s="243"/>
      <c r="D21" s="244">
        <f>D20+D19+D17</f>
        <v>5665</v>
      </c>
      <c r="E21" s="245"/>
      <c r="F21" s="243"/>
      <c r="G21" s="244">
        <f>G20+G19+G17</f>
        <v>0</v>
      </c>
      <c r="H21" s="245"/>
      <c r="I21" s="243"/>
      <c r="J21" s="244">
        <f>J20+J19+J17</f>
        <v>0</v>
      </c>
      <c r="K21" s="245"/>
      <c r="L21" s="243"/>
      <c r="M21" s="244">
        <f>M20+M19+M17</f>
        <v>5</v>
      </c>
      <c r="N21" s="245"/>
      <c r="O21" s="243"/>
      <c r="P21" s="244">
        <f>P20+P19+P17</f>
        <v>5670</v>
      </c>
      <c r="Q21" s="246"/>
      <c r="R21" s="195" t="s">
        <v>1</v>
      </c>
    </row>
    <row r="22" spans="1:19">
      <c r="B22" s="1"/>
      <c r="C22" s="1"/>
      <c r="D22" s="1"/>
      <c r="E22" s="1"/>
      <c r="F22" s="1"/>
      <c r="G22" s="1"/>
      <c r="H22" s="1"/>
      <c r="I22" s="1"/>
      <c r="J22" s="1"/>
      <c r="K22" s="1"/>
      <c r="L22" s="1"/>
      <c r="M22" s="1"/>
      <c r="N22" s="1"/>
      <c r="O22" s="1"/>
      <c r="P22" s="1"/>
      <c r="Q22" s="1"/>
      <c r="R22" s="195" t="s">
        <v>1</v>
      </c>
    </row>
    <row r="23" spans="1:19">
      <c r="A23" s="1" t="s">
        <v>302</v>
      </c>
      <c r="B23" s="1"/>
      <c r="C23" s="1"/>
      <c r="D23" s="1"/>
      <c r="E23" s="1"/>
      <c r="F23" s="1"/>
      <c r="G23" s="2"/>
      <c r="H23" s="1"/>
      <c r="I23" s="1"/>
      <c r="J23" s="1"/>
      <c r="K23" s="1"/>
      <c r="L23" s="1"/>
      <c r="M23" s="1"/>
      <c r="N23" s="1"/>
      <c r="O23" s="1"/>
      <c r="P23" s="1"/>
      <c r="Q23" s="1"/>
      <c r="R23" s="195" t="s">
        <v>1</v>
      </c>
    </row>
    <row r="24" spans="1:19">
      <c r="A24" s="1"/>
      <c r="B24" s="11"/>
      <c r="C24" s="1"/>
      <c r="D24" s="1"/>
      <c r="E24" s="1"/>
      <c r="F24" s="1"/>
      <c r="G24" s="2"/>
      <c r="H24" s="1"/>
      <c r="I24" s="1"/>
      <c r="J24" s="1"/>
      <c r="K24" s="1"/>
      <c r="L24" s="1"/>
      <c r="M24" s="1"/>
      <c r="N24" s="1"/>
      <c r="O24" s="1"/>
      <c r="P24" s="1"/>
      <c r="Q24" s="1"/>
      <c r="R24" s="195" t="s">
        <v>1</v>
      </c>
    </row>
    <row r="25" spans="1:19" ht="15.75" customHeight="1">
      <c r="A25" s="684" t="s">
        <v>303</v>
      </c>
      <c r="B25" s="684"/>
      <c r="C25" s="684"/>
      <c r="D25" s="684"/>
      <c r="E25" s="684"/>
      <c r="F25" s="684"/>
      <c r="G25" s="684"/>
      <c r="H25" s="684"/>
      <c r="I25" s="684"/>
      <c r="J25" s="684"/>
      <c r="K25" s="684"/>
      <c r="L25" s="684"/>
      <c r="M25" s="684"/>
      <c r="N25" s="684"/>
      <c r="O25" s="684"/>
      <c r="P25" s="684"/>
      <c r="Q25" s="684"/>
      <c r="R25" s="195" t="s">
        <v>1</v>
      </c>
      <c r="S25" s="11"/>
    </row>
    <row r="26" spans="1:19" ht="15.75" customHeight="1">
      <c r="A26" s="1" t="s">
        <v>304</v>
      </c>
      <c r="B26" s="1"/>
      <c r="C26" s="1"/>
      <c r="D26" s="1"/>
      <c r="E26" s="1"/>
      <c r="F26" s="1"/>
      <c r="G26" s="1"/>
      <c r="H26" s="1"/>
      <c r="I26" s="1"/>
      <c r="J26" s="1"/>
      <c r="K26" s="1"/>
      <c r="L26" s="1"/>
      <c r="M26" s="1"/>
      <c r="N26" s="1"/>
      <c r="O26" s="1"/>
      <c r="P26" s="1"/>
      <c r="Q26" s="1"/>
      <c r="R26" s="404" t="s">
        <v>1</v>
      </c>
      <c r="S26" s="11"/>
    </row>
    <row r="27" spans="1:19">
      <c r="A27" s="1"/>
      <c r="B27" s="1"/>
      <c r="C27" s="1"/>
      <c r="D27" s="1"/>
      <c r="E27" s="1"/>
      <c r="F27" s="1"/>
      <c r="G27" s="1"/>
      <c r="H27" s="1"/>
      <c r="I27" s="1"/>
      <c r="J27" s="1"/>
      <c r="K27" s="1"/>
      <c r="L27" s="1"/>
      <c r="M27" s="1"/>
      <c r="N27" s="1"/>
      <c r="O27" s="1"/>
      <c r="P27" s="1"/>
      <c r="Q27" s="1"/>
      <c r="R27" s="404" t="s">
        <v>1</v>
      </c>
      <c r="S27" s="11"/>
    </row>
    <row r="28" spans="1:19">
      <c r="A28" s="1" t="s">
        <v>305</v>
      </c>
      <c r="B28" s="1"/>
      <c r="C28" s="1"/>
      <c r="D28" s="1"/>
      <c r="E28" s="1"/>
      <c r="F28" s="1"/>
      <c r="G28" s="1"/>
      <c r="H28" s="1"/>
      <c r="I28" s="1"/>
      <c r="J28" s="1"/>
      <c r="K28" s="1"/>
      <c r="L28" s="1"/>
      <c r="M28" s="1"/>
      <c r="N28" s="1"/>
      <c r="O28" s="1"/>
      <c r="P28" s="1"/>
      <c r="Q28" s="1"/>
      <c r="R28" s="404" t="s">
        <v>1</v>
      </c>
      <c r="S28" s="11"/>
    </row>
    <row r="29" spans="1:19">
      <c r="A29" s="1" t="s">
        <v>306</v>
      </c>
      <c r="B29" s="1"/>
      <c r="C29" s="1"/>
      <c r="D29" s="1"/>
      <c r="E29" s="1"/>
      <c r="F29" s="1"/>
      <c r="G29" s="1"/>
      <c r="H29" s="1"/>
      <c r="I29" s="1"/>
      <c r="J29" s="1"/>
      <c r="K29" s="1"/>
      <c r="L29" s="1"/>
      <c r="M29" s="1"/>
      <c r="N29" s="1"/>
      <c r="O29" s="1"/>
      <c r="P29" s="1"/>
      <c r="Q29" s="1"/>
      <c r="R29" s="404" t="s">
        <v>1</v>
      </c>
      <c r="S29" s="11"/>
    </row>
    <row r="30" spans="1:19">
      <c r="A30" s="1" t="s">
        <v>307</v>
      </c>
      <c r="B30" s="1"/>
      <c r="C30" s="1"/>
      <c r="D30" s="1"/>
      <c r="E30" s="1"/>
      <c r="F30" s="1"/>
      <c r="G30" s="1"/>
      <c r="H30" s="1"/>
      <c r="I30" s="1"/>
      <c r="J30" s="1"/>
      <c r="K30" s="1"/>
      <c r="L30" s="1"/>
      <c r="M30" s="1"/>
      <c r="N30" s="1"/>
      <c r="O30" s="1"/>
      <c r="P30" s="1"/>
      <c r="Q30" s="1"/>
      <c r="R30" s="404" t="s">
        <v>1</v>
      </c>
      <c r="S30" s="11"/>
    </row>
    <row r="31" spans="1:19" ht="14.45" customHeight="1">
      <c r="A31" s="1"/>
      <c r="B31" s="1"/>
      <c r="C31" s="1"/>
      <c r="D31" s="1"/>
      <c r="E31" s="1"/>
      <c r="F31" s="1"/>
      <c r="G31" s="1"/>
      <c r="H31" s="1"/>
      <c r="I31" s="1"/>
      <c r="J31" s="1"/>
      <c r="K31" s="1"/>
      <c r="L31" s="1"/>
      <c r="M31" s="1"/>
      <c r="N31" s="1"/>
      <c r="O31" s="1"/>
      <c r="P31" s="1"/>
      <c r="Q31" s="1"/>
      <c r="R31" s="195" t="s">
        <v>1</v>
      </c>
    </row>
    <row r="32" spans="1:19">
      <c r="A32" s="1"/>
      <c r="B32" s="1"/>
      <c r="C32" s="1"/>
      <c r="D32" s="1"/>
      <c r="E32" s="1"/>
      <c r="F32" s="1"/>
      <c r="G32" s="1"/>
      <c r="H32" s="1"/>
      <c r="I32" s="1"/>
      <c r="J32" s="1"/>
      <c r="K32" s="1"/>
      <c r="L32" s="1"/>
      <c r="M32" s="1"/>
      <c r="N32" s="1"/>
      <c r="O32" s="1"/>
      <c r="P32" s="1"/>
      <c r="Q32" s="1"/>
      <c r="R32" s="195" t="s">
        <v>41</v>
      </c>
    </row>
    <row r="33" spans="1:18">
      <c r="A33" s="678"/>
      <c r="B33" s="678"/>
      <c r="C33" s="678"/>
      <c r="D33" s="678"/>
      <c r="E33" s="678"/>
      <c r="F33" s="678"/>
      <c r="G33" s="678"/>
      <c r="H33" s="678"/>
      <c r="I33" s="678"/>
      <c r="J33" s="678"/>
      <c r="K33" s="678"/>
      <c r="L33" s="678"/>
      <c r="M33" s="678"/>
      <c r="N33" s="678"/>
      <c r="O33" s="678"/>
      <c r="P33" s="678"/>
      <c r="Q33" s="678"/>
      <c r="R33" s="195"/>
    </row>
    <row r="34" spans="1:18" ht="15.75" customHeight="1">
      <c r="A34" s="1"/>
      <c r="B34" s="1"/>
      <c r="C34" s="1"/>
      <c r="D34" s="1"/>
      <c r="E34" s="1"/>
      <c r="F34" s="1"/>
      <c r="G34" s="1"/>
      <c r="H34" s="1"/>
      <c r="I34" s="1"/>
      <c r="J34" s="1"/>
      <c r="K34" s="1"/>
      <c r="L34" s="1"/>
      <c r="M34" s="1"/>
      <c r="N34" s="1"/>
      <c r="O34" s="1"/>
      <c r="P34" s="1"/>
      <c r="Q34" s="1"/>
    </row>
    <row r="35" spans="1:18">
      <c r="A35" s="73"/>
      <c r="B35" s="73"/>
      <c r="C35" s="73"/>
      <c r="D35" s="73"/>
      <c r="E35" s="73"/>
      <c r="F35" s="73"/>
      <c r="G35" s="73"/>
      <c r="H35" s="73"/>
      <c r="I35" s="1"/>
      <c r="J35" s="1"/>
      <c r="K35" s="1"/>
      <c r="L35" s="1"/>
      <c r="M35" s="1"/>
      <c r="N35" s="1"/>
      <c r="O35" s="1"/>
      <c r="P35" s="1"/>
      <c r="Q35" s="1"/>
    </row>
    <row r="36" spans="1:18">
      <c r="A36" s="73"/>
      <c r="B36" s="73"/>
      <c r="C36" s="73"/>
      <c r="D36" s="73"/>
      <c r="E36" s="73"/>
      <c r="F36" s="73"/>
      <c r="G36" s="73"/>
      <c r="H36" s="73"/>
      <c r="I36" s="1"/>
      <c r="J36" s="1"/>
      <c r="K36" s="1"/>
      <c r="L36" s="1"/>
      <c r="M36" s="1"/>
      <c r="N36" s="1"/>
      <c r="O36" s="1"/>
      <c r="P36" s="1"/>
      <c r="Q36" s="1"/>
    </row>
  </sheetData>
  <mergeCells count="22">
    <mergeCell ref="A25:Q25"/>
    <mergeCell ref="L9:N10"/>
    <mergeCell ref="A12:B12"/>
    <mergeCell ref="A9:B11"/>
    <mergeCell ref="A33:Q33"/>
    <mergeCell ref="A1:Q1"/>
    <mergeCell ref="A3:Q3"/>
    <mergeCell ref="A4:Q4"/>
    <mergeCell ref="A5:Q5"/>
    <mergeCell ref="A17:B17"/>
    <mergeCell ref="A6:Q6"/>
    <mergeCell ref="A20:B20"/>
    <mergeCell ref="A19:B19"/>
    <mergeCell ref="A13:B13"/>
    <mergeCell ref="A21:B21"/>
    <mergeCell ref="C9:E10"/>
    <mergeCell ref="O9:Q10"/>
    <mergeCell ref="A18:B18"/>
    <mergeCell ref="F9:H10"/>
    <mergeCell ref="I9:K10"/>
    <mergeCell ref="A15:B15"/>
    <mergeCell ref="A16:B16"/>
  </mergeCells>
  <phoneticPr fontId="0" type="noConversion"/>
  <printOptions horizontalCentered="1"/>
  <pageMargins left="0.5" right="0.5" top="0.5" bottom="0.55000000000000004" header="0" footer="0"/>
  <pageSetup scale="80" firstPageNumber="2" orientation="landscape" useFirstPageNumber="1" horizontalDpi="300" verticalDpi="300" r:id="rId1"/>
  <headerFooter alignWithMargins="0">
    <oddFooter>&amp;C&amp;"Times New Roman,Regular"Exhibit F - Crosswalk of 2007 Availability</oddFooter>
  </headerFooter>
</worksheet>
</file>

<file path=xl/worksheets/sheet7.xml><?xml version="1.0" encoding="utf-8"?>
<worksheet xmlns="http://schemas.openxmlformats.org/spreadsheetml/2006/main" xmlns:r="http://schemas.openxmlformats.org/officeDocument/2006/relationships">
  <sheetPr codeName="Sheet12">
    <pageSetUpPr fitToPage="1"/>
  </sheetPr>
  <dimension ref="A1:AB31"/>
  <sheetViews>
    <sheetView view="pageBreakPreview" zoomScale="70" zoomScaleNormal="80" zoomScaleSheetLayoutView="70" workbookViewId="0">
      <selection activeCell="A22" sqref="A22:B22"/>
    </sheetView>
  </sheetViews>
  <sheetFormatPr defaultRowHeight="15"/>
  <cols>
    <col min="2" max="2" width="11.77734375" customWidth="1"/>
    <col min="4" max="4" width="8.77734375" customWidth="1"/>
    <col min="5" max="5" width="10.33203125" style="172" customWidth="1"/>
    <col min="14" max="14" width="9.6640625" bestFit="1" customWidth="1"/>
  </cols>
  <sheetData>
    <row r="1" spans="1:15" ht="20.25">
      <c r="A1" s="699" t="s">
        <v>166</v>
      </c>
      <c r="B1" s="700"/>
      <c r="C1" s="700"/>
      <c r="D1" s="700"/>
      <c r="E1" s="164"/>
      <c r="F1" s="164"/>
      <c r="G1" s="164"/>
      <c r="H1" s="164"/>
      <c r="I1" s="164"/>
      <c r="J1" s="164"/>
      <c r="K1" s="164"/>
      <c r="L1" s="164"/>
      <c r="M1" s="164"/>
      <c r="N1" s="319"/>
      <c r="O1" s="197" t="s">
        <v>1</v>
      </c>
    </row>
    <row r="2" spans="1:15" ht="15.75">
      <c r="A2" s="164"/>
      <c r="B2" s="164"/>
      <c r="C2" s="164"/>
      <c r="D2" s="164"/>
      <c r="E2" s="164"/>
      <c r="F2" s="164"/>
      <c r="G2" s="164"/>
      <c r="H2" s="164"/>
      <c r="I2" s="164"/>
      <c r="J2" s="164"/>
      <c r="K2" s="164"/>
      <c r="L2" s="164"/>
      <c r="M2" s="164"/>
      <c r="N2" s="319"/>
      <c r="O2" s="197" t="s">
        <v>1</v>
      </c>
    </row>
    <row r="3" spans="1:15" s="16" customFormat="1" ht="18.75">
      <c r="A3" s="701" t="s">
        <v>165</v>
      </c>
      <c r="B3" s="702"/>
      <c r="C3" s="702"/>
      <c r="D3" s="702"/>
      <c r="E3" s="702"/>
      <c r="F3" s="702"/>
      <c r="G3" s="702"/>
      <c r="H3" s="702"/>
      <c r="I3" s="702"/>
      <c r="J3" s="702"/>
      <c r="K3" s="702"/>
      <c r="L3" s="702"/>
      <c r="M3" s="702"/>
      <c r="N3" s="702"/>
      <c r="O3" s="195" t="s">
        <v>1</v>
      </c>
    </row>
    <row r="4" spans="1:15" s="16" customFormat="1" ht="15.75">
      <c r="A4" s="703" t="str">
        <f>+'B. Summary of Requirements '!A5</f>
        <v>Bureau of Alcohol, Tobacco, Firearms and Explosives</v>
      </c>
      <c r="B4" s="704"/>
      <c r="C4" s="704"/>
      <c r="D4" s="704"/>
      <c r="E4" s="704"/>
      <c r="F4" s="704"/>
      <c r="G4" s="704"/>
      <c r="H4" s="704"/>
      <c r="I4" s="704"/>
      <c r="J4" s="704"/>
      <c r="K4" s="704"/>
      <c r="L4" s="704"/>
      <c r="M4" s="704"/>
      <c r="N4" s="704"/>
      <c r="O4" s="195" t="s">
        <v>1</v>
      </c>
    </row>
    <row r="5" spans="1:15" s="16" customFormat="1" ht="15.75">
      <c r="A5" s="703" t="str">
        <f>+'B. Summary of Requirements '!A6</f>
        <v>Salaries and Expenses</v>
      </c>
      <c r="B5" s="705"/>
      <c r="C5" s="705"/>
      <c r="D5" s="705"/>
      <c r="E5" s="705"/>
      <c r="F5" s="705"/>
      <c r="G5" s="705"/>
      <c r="H5" s="705"/>
      <c r="I5" s="705"/>
      <c r="J5" s="705"/>
      <c r="K5" s="705"/>
      <c r="L5" s="705"/>
      <c r="M5" s="705"/>
      <c r="N5" s="705"/>
      <c r="O5" s="195" t="s">
        <v>1</v>
      </c>
    </row>
    <row r="6" spans="1:15" s="16" customFormat="1" ht="15.75">
      <c r="A6" s="685" t="s">
        <v>204</v>
      </c>
      <c r="B6" s="686"/>
      <c r="C6" s="686"/>
      <c r="D6" s="686"/>
      <c r="E6" s="686"/>
      <c r="F6" s="686"/>
      <c r="G6" s="686"/>
      <c r="H6" s="686"/>
      <c r="I6" s="686"/>
      <c r="J6" s="686"/>
      <c r="K6" s="686"/>
      <c r="L6" s="686"/>
      <c r="M6" s="686"/>
      <c r="N6" s="686"/>
      <c r="O6" s="195" t="s">
        <v>1</v>
      </c>
    </row>
    <row r="7" spans="1:15" s="16" customFormat="1" ht="15.75">
      <c r="A7" s="11"/>
      <c r="B7" s="11"/>
      <c r="C7" s="11"/>
      <c r="D7" s="11"/>
      <c r="E7" s="11"/>
      <c r="F7" s="13"/>
      <c r="G7" s="13"/>
      <c r="H7" s="13"/>
      <c r="I7" s="11"/>
      <c r="J7" s="11"/>
      <c r="K7" s="11"/>
      <c r="L7" s="11"/>
      <c r="M7" s="11"/>
      <c r="N7" s="11"/>
      <c r="O7" s="195" t="s">
        <v>1</v>
      </c>
    </row>
    <row r="8" spans="1:15" s="16" customFormat="1" ht="15.75">
      <c r="A8" s="11"/>
      <c r="B8" s="11"/>
      <c r="C8" s="13"/>
      <c r="D8" s="13"/>
      <c r="E8" s="13"/>
      <c r="F8" s="13"/>
      <c r="G8" s="13"/>
      <c r="H8" s="13"/>
      <c r="I8" s="11"/>
      <c r="J8" s="11"/>
      <c r="K8" s="11"/>
      <c r="L8" s="11"/>
      <c r="M8" s="13"/>
      <c r="N8" s="13"/>
      <c r="O8" s="195" t="s">
        <v>1</v>
      </c>
    </row>
    <row r="9" spans="1:15" s="203" customFormat="1" ht="16.5" customHeight="1">
      <c r="A9" s="693" t="s">
        <v>81</v>
      </c>
      <c r="B9" s="694"/>
      <c r="C9" s="687" t="s">
        <v>335</v>
      </c>
      <c r="D9" s="688"/>
      <c r="E9" s="689"/>
      <c r="F9" s="687" t="s">
        <v>39</v>
      </c>
      <c r="G9" s="688"/>
      <c r="H9" s="689"/>
      <c r="I9" s="687" t="s">
        <v>40</v>
      </c>
      <c r="J9" s="688"/>
      <c r="K9" s="689"/>
      <c r="L9" s="687" t="s">
        <v>56</v>
      </c>
      <c r="M9" s="688"/>
      <c r="N9" s="689"/>
      <c r="O9" s="202" t="s">
        <v>1</v>
      </c>
    </row>
    <row r="10" spans="1:15" s="203" customFormat="1" ht="15.75">
      <c r="A10" s="695"/>
      <c r="B10" s="696"/>
      <c r="C10" s="690"/>
      <c r="D10" s="691"/>
      <c r="E10" s="692"/>
      <c r="F10" s="690"/>
      <c r="G10" s="691"/>
      <c r="H10" s="692"/>
      <c r="I10" s="690"/>
      <c r="J10" s="691"/>
      <c r="K10" s="692"/>
      <c r="L10" s="690"/>
      <c r="M10" s="691"/>
      <c r="N10" s="692"/>
      <c r="O10" s="202" t="s">
        <v>1</v>
      </c>
    </row>
    <row r="11" spans="1:15" s="203" customFormat="1" ht="16.5" thickBot="1">
      <c r="A11" s="697"/>
      <c r="B11" s="698"/>
      <c r="C11" s="320" t="s">
        <v>225</v>
      </c>
      <c r="D11" s="321" t="s">
        <v>85</v>
      </c>
      <c r="E11" s="321" t="s">
        <v>227</v>
      </c>
      <c r="F11" s="320" t="s">
        <v>225</v>
      </c>
      <c r="G11" s="321" t="s">
        <v>85</v>
      </c>
      <c r="H11" s="321" t="s">
        <v>227</v>
      </c>
      <c r="I11" s="320" t="s">
        <v>225</v>
      </c>
      <c r="J11" s="321" t="s">
        <v>85</v>
      </c>
      <c r="K11" s="321" t="s">
        <v>227</v>
      </c>
      <c r="L11" s="320" t="s">
        <v>225</v>
      </c>
      <c r="M11" s="321" t="s">
        <v>85</v>
      </c>
      <c r="N11" s="96" t="s">
        <v>227</v>
      </c>
      <c r="O11" s="202" t="s">
        <v>1</v>
      </c>
    </row>
    <row r="12" spans="1:15" s="16" customFormat="1" ht="15.75">
      <c r="A12" s="670" t="s">
        <v>254</v>
      </c>
      <c r="B12" s="671"/>
      <c r="C12" s="425">
        <v>3687</v>
      </c>
      <c r="D12" s="426">
        <v>3614</v>
      </c>
      <c r="E12" s="426">
        <v>802636</v>
      </c>
      <c r="F12" s="92"/>
      <c r="G12" s="93"/>
      <c r="H12" s="93">
        <v>229</v>
      </c>
      <c r="I12" s="92"/>
      <c r="J12" s="93"/>
      <c r="K12" s="93">
        <v>51655</v>
      </c>
      <c r="L12" s="92">
        <f t="shared" ref="L12:N14" si="0">C12+F12+I12</f>
        <v>3687</v>
      </c>
      <c r="M12" s="93">
        <f t="shared" si="0"/>
        <v>3614</v>
      </c>
      <c r="N12" s="322">
        <f t="shared" si="0"/>
        <v>854520</v>
      </c>
      <c r="O12" s="195" t="s">
        <v>1</v>
      </c>
    </row>
    <row r="13" spans="1:15" s="16" customFormat="1" ht="15.75">
      <c r="A13" s="654" t="s">
        <v>255</v>
      </c>
      <c r="B13" s="655"/>
      <c r="C13" s="425">
        <v>1321</v>
      </c>
      <c r="D13" s="426">
        <v>1321</v>
      </c>
      <c r="E13" s="426">
        <v>289841</v>
      </c>
      <c r="F13" s="92"/>
      <c r="G13" s="93"/>
      <c r="H13" s="93">
        <v>0</v>
      </c>
      <c r="I13" s="92"/>
      <c r="J13" s="93"/>
      <c r="K13" s="93">
        <v>18949</v>
      </c>
      <c r="L13" s="92">
        <f t="shared" si="0"/>
        <v>1321</v>
      </c>
      <c r="M13" s="93">
        <f t="shared" si="0"/>
        <v>1321</v>
      </c>
      <c r="N13" s="322">
        <f t="shared" si="0"/>
        <v>308790</v>
      </c>
      <c r="O13" s="195" t="s">
        <v>1</v>
      </c>
    </row>
    <row r="14" spans="1:15" s="16" customFormat="1" ht="15.75">
      <c r="A14" s="89" t="s">
        <v>256</v>
      </c>
      <c r="B14" s="323"/>
      <c r="C14" s="324">
        <v>93</v>
      </c>
      <c r="D14" s="325">
        <v>90</v>
      </c>
      <c r="E14" s="325">
        <v>22295</v>
      </c>
      <c r="F14" s="324"/>
      <c r="G14" s="325"/>
      <c r="H14" s="325">
        <v>0</v>
      </c>
      <c r="I14" s="324"/>
      <c r="J14" s="325"/>
      <c r="K14" s="325">
        <v>1058</v>
      </c>
      <c r="L14" s="92">
        <f t="shared" si="0"/>
        <v>93</v>
      </c>
      <c r="M14" s="93">
        <f t="shared" si="0"/>
        <v>90</v>
      </c>
      <c r="N14" s="322">
        <f t="shared" si="0"/>
        <v>23353</v>
      </c>
      <c r="O14" s="195" t="s">
        <v>1</v>
      </c>
    </row>
    <row r="15" spans="1:15" s="16" customFormat="1" ht="18" customHeight="1">
      <c r="A15" s="326"/>
      <c r="B15" s="11" t="s">
        <v>226</v>
      </c>
      <c r="C15" s="427"/>
      <c r="D15" s="428"/>
      <c r="E15" s="428"/>
      <c r="F15" s="91"/>
      <c r="G15" s="9"/>
      <c r="H15" s="9"/>
      <c r="I15" s="91"/>
      <c r="J15" s="9"/>
      <c r="K15" s="9"/>
      <c r="L15" s="91"/>
      <c r="M15" s="9"/>
      <c r="N15" s="327"/>
      <c r="O15" s="195" t="s">
        <v>1</v>
      </c>
    </row>
    <row r="16" spans="1:15" s="203" customFormat="1" ht="15.75">
      <c r="A16" s="708" t="s">
        <v>232</v>
      </c>
      <c r="B16" s="709"/>
      <c r="C16" s="429">
        <f t="shared" ref="C16:N16" si="1">SUM(C12:C14)</f>
        <v>5101</v>
      </c>
      <c r="D16" s="430">
        <f t="shared" si="1"/>
        <v>5025</v>
      </c>
      <c r="E16" s="430">
        <f t="shared" si="1"/>
        <v>1114772</v>
      </c>
      <c r="F16" s="328">
        <f t="shared" si="1"/>
        <v>0</v>
      </c>
      <c r="G16" s="329">
        <f t="shared" si="1"/>
        <v>0</v>
      </c>
      <c r="H16" s="329">
        <f t="shared" si="1"/>
        <v>229</v>
      </c>
      <c r="I16" s="328">
        <f t="shared" si="1"/>
        <v>0</v>
      </c>
      <c r="J16" s="329">
        <f t="shared" si="1"/>
        <v>0</v>
      </c>
      <c r="K16" s="329">
        <f t="shared" si="1"/>
        <v>71662</v>
      </c>
      <c r="L16" s="328">
        <f t="shared" si="1"/>
        <v>5101</v>
      </c>
      <c r="M16" s="329">
        <f t="shared" si="1"/>
        <v>5025</v>
      </c>
      <c r="N16" s="98">
        <f t="shared" si="1"/>
        <v>1186663</v>
      </c>
      <c r="O16" s="202" t="s">
        <v>1</v>
      </c>
    </row>
    <row r="17" spans="1:28" s="16" customFormat="1" ht="15.75">
      <c r="A17" s="706" t="s">
        <v>212</v>
      </c>
      <c r="B17" s="707"/>
      <c r="C17" s="324"/>
      <c r="D17" s="325">
        <v>55</v>
      </c>
      <c r="E17" s="325"/>
      <c r="F17" s="330"/>
      <c r="G17" s="331"/>
      <c r="H17" s="331"/>
      <c r="I17" s="330"/>
      <c r="J17" s="331"/>
      <c r="K17" s="331"/>
      <c r="L17" s="330"/>
      <c r="M17" s="331">
        <f>D17+G17+J17</f>
        <v>55</v>
      </c>
      <c r="N17" s="332"/>
      <c r="O17" s="195" t="s">
        <v>1</v>
      </c>
      <c r="P17" s="22"/>
      <c r="Q17" s="22"/>
      <c r="R17" s="22"/>
      <c r="S17" s="22"/>
      <c r="T17" s="22"/>
      <c r="U17" s="22"/>
      <c r="V17" s="22"/>
      <c r="W17" s="22"/>
      <c r="X17" s="22"/>
      <c r="Y17" s="22"/>
      <c r="Z17" s="22"/>
      <c r="AA17" s="22"/>
      <c r="AB17" s="22"/>
    </row>
    <row r="18" spans="1:28" s="16" customFormat="1" ht="15.75">
      <c r="A18" s="706" t="s">
        <v>211</v>
      </c>
      <c r="B18" s="707"/>
      <c r="C18" s="431"/>
      <c r="D18" s="432">
        <f>SUM(D16:D17)</f>
        <v>5080</v>
      </c>
      <c r="E18" s="432"/>
      <c r="F18" s="310"/>
      <c r="G18" s="333">
        <f>+G16+G17</f>
        <v>0</v>
      </c>
      <c r="H18" s="333"/>
      <c r="I18" s="310"/>
      <c r="J18" s="333">
        <f>+J16+J17</f>
        <v>0</v>
      </c>
      <c r="K18" s="333"/>
      <c r="L18" s="310"/>
      <c r="M18" s="333">
        <f>SUM(M16:M17)</f>
        <v>5080</v>
      </c>
      <c r="N18" s="334"/>
      <c r="O18" s="195" t="s">
        <v>1</v>
      </c>
    </row>
    <row r="19" spans="1:28" s="16" customFormat="1" ht="15.75">
      <c r="A19" s="714" t="s">
        <v>213</v>
      </c>
      <c r="B19" s="715"/>
      <c r="C19" s="425"/>
      <c r="D19" s="426"/>
      <c r="E19" s="426"/>
      <c r="F19" s="92"/>
      <c r="G19" s="93"/>
      <c r="H19" s="93"/>
      <c r="I19" s="92"/>
      <c r="J19" s="93"/>
      <c r="K19" s="93"/>
      <c r="L19" s="92"/>
      <c r="M19" s="93"/>
      <c r="N19" s="322"/>
      <c r="O19" s="195" t="s">
        <v>1</v>
      </c>
    </row>
    <row r="20" spans="1:28" s="16" customFormat="1" ht="15.75">
      <c r="A20" s="710" t="s">
        <v>91</v>
      </c>
      <c r="B20" s="711"/>
      <c r="C20" s="425"/>
      <c r="D20" s="423">
        <f>ROUNDUP((((2*261)*2562)/2088),0)</f>
        <v>641</v>
      </c>
      <c r="E20" s="426"/>
      <c r="F20" s="92"/>
      <c r="G20" s="93"/>
      <c r="H20" s="93"/>
      <c r="I20" s="92"/>
      <c r="J20" s="93"/>
      <c r="K20" s="93"/>
      <c r="L20" s="92"/>
      <c r="M20" s="93">
        <f>D20+G20+J20</f>
        <v>641</v>
      </c>
      <c r="N20" s="322"/>
      <c r="O20" s="195" t="s">
        <v>1</v>
      </c>
    </row>
    <row r="21" spans="1:28" s="16" customFormat="1" ht="15.75">
      <c r="A21" s="712" t="s">
        <v>145</v>
      </c>
      <c r="B21" s="713"/>
      <c r="C21" s="324"/>
      <c r="D21" s="424">
        <f>ROUNDUP((2138034/(45.32*1.02))/2088,0)</f>
        <v>23</v>
      </c>
      <c r="E21" s="325"/>
      <c r="F21" s="330"/>
      <c r="G21" s="331"/>
      <c r="H21" s="331"/>
      <c r="I21" s="330"/>
      <c r="J21" s="331"/>
      <c r="K21" s="331"/>
      <c r="L21" s="330"/>
      <c r="M21" s="331">
        <f>D21+G21+J21</f>
        <v>23</v>
      </c>
      <c r="N21" s="332"/>
      <c r="O21" s="195" t="s">
        <v>1</v>
      </c>
    </row>
    <row r="22" spans="1:28" s="16" customFormat="1" ht="15.75">
      <c r="A22" s="706" t="s">
        <v>214</v>
      </c>
      <c r="B22" s="707"/>
      <c r="C22" s="324"/>
      <c r="D22" s="325">
        <f>D21+D20+D18</f>
        <v>5744</v>
      </c>
      <c r="E22" s="325"/>
      <c r="F22" s="330"/>
      <c r="G22" s="331">
        <f>G21+G20+G18</f>
        <v>0</v>
      </c>
      <c r="H22" s="331"/>
      <c r="I22" s="330"/>
      <c r="J22" s="331">
        <f>J21+J20+J18</f>
        <v>0</v>
      </c>
      <c r="K22" s="331"/>
      <c r="L22" s="330"/>
      <c r="M22" s="331">
        <f>M21+M20+M18</f>
        <v>5744</v>
      </c>
      <c r="N22" s="332"/>
      <c r="O22" s="195" t="s">
        <v>1</v>
      </c>
    </row>
    <row r="23" spans="1:28" s="16" customFormat="1" ht="15.75">
      <c r="A23" s="11"/>
      <c r="B23" s="11"/>
      <c r="C23" s="11"/>
      <c r="D23" s="11"/>
      <c r="E23" s="11"/>
      <c r="F23" s="11"/>
      <c r="G23" s="11"/>
      <c r="H23" s="11"/>
      <c r="I23" s="11"/>
      <c r="J23" s="11"/>
      <c r="K23" s="11"/>
      <c r="L23" s="11"/>
      <c r="M23" s="11"/>
      <c r="N23" s="11"/>
      <c r="O23" s="195" t="s">
        <v>1</v>
      </c>
    </row>
    <row r="24" spans="1:28" s="16" customFormat="1" ht="15.75" customHeight="1">
      <c r="A24" s="684" t="s">
        <v>308</v>
      </c>
      <c r="B24" s="684"/>
      <c r="C24" s="684"/>
      <c r="D24" s="684"/>
      <c r="E24" s="684"/>
      <c r="F24" s="684"/>
      <c r="G24" s="684"/>
      <c r="H24" s="684"/>
      <c r="I24" s="684"/>
      <c r="J24" s="684"/>
      <c r="K24" s="684"/>
      <c r="L24" s="684"/>
      <c r="M24" s="684"/>
      <c r="N24" s="684"/>
      <c r="O24" s="404" t="s">
        <v>1</v>
      </c>
    </row>
    <row r="25" spans="1:28" s="16" customFormat="1" ht="15.75">
      <c r="A25" s="1"/>
      <c r="B25" s="1"/>
      <c r="C25" s="1"/>
      <c r="D25" s="1"/>
      <c r="E25" s="1"/>
      <c r="F25" s="1"/>
      <c r="G25" s="1"/>
      <c r="H25" s="1"/>
      <c r="I25" s="1"/>
      <c r="J25" s="1"/>
      <c r="K25" s="1"/>
      <c r="L25" s="1"/>
      <c r="M25" s="1"/>
      <c r="N25" s="1"/>
      <c r="O25" s="404" t="s">
        <v>1</v>
      </c>
    </row>
    <row r="26" spans="1:28" s="16" customFormat="1" ht="15.75">
      <c r="A26" s="1" t="s">
        <v>309</v>
      </c>
      <c r="B26" s="1"/>
      <c r="C26" s="1"/>
      <c r="D26" s="1"/>
      <c r="E26" s="1"/>
      <c r="F26" s="1"/>
      <c r="G26" s="1"/>
      <c r="H26" s="1"/>
      <c r="I26" s="1"/>
      <c r="J26" s="1"/>
      <c r="K26" s="1"/>
      <c r="L26" s="1"/>
      <c r="M26" s="1"/>
      <c r="N26" s="1"/>
      <c r="O26" s="404" t="s">
        <v>1</v>
      </c>
    </row>
    <row r="27" spans="1:28" s="16" customFormat="1" ht="15.75">
      <c r="A27" s="1" t="s">
        <v>310</v>
      </c>
      <c r="B27" s="1"/>
      <c r="C27" s="1"/>
      <c r="D27" s="1"/>
      <c r="E27" s="1"/>
      <c r="F27" s="1"/>
      <c r="G27" s="1"/>
      <c r="H27" s="1"/>
      <c r="I27" s="1"/>
      <c r="J27" s="1"/>
      <c r="K27" s="1"/>
      <c r="L27" s="1"/>
      <c r="M27" s="1"/>
      <c r="N27" s="1"/>
      <c r="O27" s="404" t="s">
        <v>1</v>
      </c>
    </row>
    <row r="28" spans="1:28" s="16" customFormat="1" ht="15.75">
      <c r="A28" s="1" t="s">
        <v>311</v>
      </c>
      <c r="B28" s="1"/>
      <c r="C28" s="1"/>
      <c r="D28" s="1"/>
      <c r="E28" s="1"/>
      <c r="F28" s="1"/>
      <c r="G28" s="1"/>
      <c r="H28" s="1"/>
      <c r="I28" s="1"/>
      <c r="J28" s="1"/>
      <c r="K28" s="1"/>
      <c r="L28" s="1"/>
      <c r="M28" s="1"/>
      <c r="N28" s="1"/>
      <c r="O28" s="404" t="s">
        <v>1</v>
      </c>
    </row>
    <row r="29" spans="1:28" s="16" customFormat="1" ht="15.75">
      <c r="A29" s="1" t="s">
        <v>312</v>
      </c>
      <c r="B29" s="1"/>
      <c r="C29" s="11"/>
      <c r="D29" s="405"/>
      <c r="E29" s="406"/>
      <c r="F29" s="11"/>
      <c r="G29" s="11"/>
      <c r="H29" s="11"/>
      <c r="I29" s="11"/>
      <c r="J29" s="11"/>
      <c r="K29" s="11"/>
      <c r="L29" s="11"/>
      <c r="M29" s="11"/>
      <c r="N29" s="11"/>
      <c r="O29" s="404" t="s">
        <v>1</v>
      </c>
    </row>
    <row r="30" spans="1:28" s="16" customFormat="1" ht="15.75">
      <c r="A30" s="1" t="s">
        <v>313</v>
      </c>
      <c r="B30" s="1"/>
      <c r="C30" s="11"/>
      <c r="D30" s="405"/>
      <c r="E30" s="406"/>
      <c r="F30" s="11"/>
      <c r="G30" s="11"/>
      <c r="H30" s="11"/>
      <c r="I30" s="11"/>
      <c r="J30" s="11"/>
      <c r="K30" s="11"/>
      <c r="L30" s="11"/>
      <c r="M30" s="11"/>
      <c r="N30" s="11"/>
      <c r="O30" s="404" t="s">
        <v>1</v>
      </c>
    </row>
    <row r="31" spans="1:28" s="16" customFormat="1" ht="18" customHeight="1">
      <c r="A31" s="11"/>
      <c r="B31" s="11"/>
      <c r="C31" s="11"/>
      <c r="D31" s="406"/>
      <c r="E31" s="11"/>
      <c r="F31" s="11"/>
      <c r="G31" s="11"/>
      <c r="H31" s="11"/>
      <c r="I31" s="11"/>
      <c r="J31" s="11"/>
      <c r="K31" s="11"/>
      <c r="L31" s="11"/>
      <c r="M31" s="11"/>
      <c r="N31" s="11"/>
      <c r="O31" s="404" t="s">
        <v>41</v>
      </c>
    </row>
  </sheetData>
  <mergeCells count="20">
    <mergeCell ref="A24:N24"/>
    <mergeCell ref="A12:B12"/>
    <mergeCell ref="A13:B13"/>
    <mergeCell ref="A22:B22"/>
    <mergeCell ref="A16:B16"/>
    <mergeCell ref="A20:B20"/>
    <mergeCell ref="A21:B21"/>
    <mergeCell ref="A17:B17"/>
    <mergeCell ref="A18:B18"/>
    <mergeCell ref="A19:B19"/>
    <mergeCell ref="A6:N6"/>
    <mergeCell ref="C9:E10"/>
    <mergeCell ref="A9:B11"/>
    <mergeCell ref="A1:D1"/>
    <mergeCell ref="A3:N3"/>
    <mergeCell ref="A4:N4"/>
    <mergeCell ref="A5:N5"/>
    <mergeCell ref="L9:N10"/>
    <mergeCell ref="F9:H10"/>
    <mergeCell ref="I9:K10"/>
  </mergeCells>
  <phoneticPr fontId="50" type="noConversion"/>
  <printOptions horizontalCentered="1"/>
  <pageMargins left="0.75" right="0.75" top="1" bottom="1" header="0.5" footer="0.5"/>
  <pageSetup scale="78" orientation="landscape" r:id="rId1"/>
  <headerFooter alignWithMargins="0">
    <oddFooter>&amp;C&amp;"Times New Roman,Regular"Exhibit G:  Crosswalk of 2008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G18"/>
  <sheetViews>
    <sheetView showGridLines="0" showOutlineSymbols="0" view="pageBreakPreview" zoomScale="75" zoomScaleNormal="90" zoomScaleSheetLayoutView="130" workbookViewId="0">
      <selection activeCell="F21" sqref="F21"/>
    </sheetView>
  </sheetViews>
  <sheetFormatPr defaultColWidth="9.6640625" defaultRowHeight="15.75"/>
  <cols>
    <col min="1" max="1" width="4.44140625" style="40" customWidth="1"/>
    <col min="2" max="2" width="29.21875" style="40" customWidth="1"/>
    <col min="3" max="3" width="24.21875" style="40" customWidth="1"/>
    <col min="4" max="5" width="5.6640625" style="40" customWidth="1"/>
    <col min="6" max="6" width="7.6640625" style="40" customWidth="1"/>
    <col min="7" max="8" width="5.6640625" style="40" customWidth="1"/>
    <col min="9" max="9" width="7.6640625" style="40" customWidth="1"/>
    <col min="10" max="11" width="5.6640625" style="40" customWidth="1"/>
    <col min="12" max="12" width="7.6640625" style="40" customWidth="1"/>
    <col min="13" max="14" width="5.6640625" style="40" customWidth="1"/>
    <col min="15" max="15" width="7.6640625" style="40" customWidth="1"/>
    <col min="16" max="16" width="1.21875" style="188" customWidth="1"/>
    <col min="17" max="17" width="27.5546875" style="40" customWidth="1"/>
    <col min="18" max="21" width="7.6640625" style="40" customWidth="1"/>
    <col min="22" max="22" width="3.6640625" style="40" customWidth="1"/>
    <col min="23" max="25" width="7.6640625" style="40" customWidth="1"/>
    <col min="26" max="26" width="3.6640625" style="40" customWidth="1"/>
    <col min="27" max="29" width="7.6640625" style="40" customWidth="1"/>
    <col min="30" max="30" width="3.6640625" style="40" customWidth="1"/>
    <col min="31" max="33" width="7.6640625" style="40" customWidth="1"/>
    <col min="34" max="16384" width="9.6640625" style="40"/>
  </cols>
  <sheetData>
    <row r="1" spans="1:22" ht="20.25">
      <c r="A1" s="495" t="s">
        <v>49</v>
      </c>
      <c r="B1" s="719"/>
      <c r="C1" s="719"/>
      <c r="D1" s="719"/>
      <c r="E1" s="719"/>
      <c r="F1" s="719"/>
      <c r="G1" s="719"/>
      <c r="H1" s="719"/>
      <c r="I1" s="719"/>
      <c r="J1" s="719"/>
      <c r="K1" s="719"/>
      <c r="L1" s="719"/>
      <c r="M1" s="719"/>
      <c r="N1" s="719"/>
      <c r="O1" s="719"/>
      <c r="P1" s="187" t="s">
        <v>1</v>
      </c>
      <c r="Q1" s="1"/>
      <c r="R1" s="1"/>
      <c r="S1" s="1"/>
      <c r="T1" s="1"/>
      <c r="U1" s="1"/>
      <c r="V1" s="1"/>
    </row>
    <row r="2" spans="1:22" ht="13.9" customHeight="1">
      <c r="A2" s="39"/>
      <c r="B2" s="1"/>
      <c r="C2" s="1"/>
      <c r="D2" s="1"/>
      <c r="E2" s="1"/>
      <c r="F2" s="1"/>
      <c r="G2" s="1"/>
      <c r="H2" s="1"/>
      <c r="I2" s="1"/>
      <c r="J2" s="1"/>
      <c r="K2" s="1"/>
      <c r="L2" s="1"/>
      <c r="M2" s="1"/>
      <c r="N2" s="1"/>
      <c r="O2" s="1"/>
      <c r="P2" s="187" t="s">
        <v>1</v>
      </c>
      <c r="Q2" s="1"/>
      <c r="R2" s="1"/>
      <c r="S2" s="1"/>
      <c r="T2" s="1"/>
      <c r="U2" s="1"/>
      <c r="V2" s="1"/>
    </row>
    <row r="3" spans="1:22" ht="18.75">
      <c r="A3" s="679" t="s">
        <v>143</v>
      </c>
      <c r="B3" s="500"/>
      <c r="C3" s="500"/>
      <c r="D3" s="500"/>
      <c r="E3" s="500"/>
      <c r="F3" s="500"/>
      <c r="G3" s="500"/>
      <c r="H3" s="500"/>
      <c r="I3" s="500"/>
      <c r="J3" s="500"/>
      <c r="K3" s="500"/>
      <c r="L3" s="500"/>
      <c r="M3" s="500"/>
      <c r="N3" s="500"/>
      <c r="O3" s="500"/>
      <c r="P3" s="187" t="s">
        <v>1</v>
      </c>
      <c r="Q3" s="1"/>
      <c r="R3" s="1"/>
      <c r="S3" s="1"/>
      <c r="T3" s="1"/>
      <c r="U3" s="1"/>
      <c r="V3" s="1"/>
    </row>
    <row r="4" spans="1:22" ht="16.5">
      <c r="A4" s="680" t="str">
        <f>+'B. Summary of Requirements '!A5</f>
        <v>Bureau of Alcohol, Tobacco, Firearms and Explosives</v>
      </c>
      <c r="B4" s="502"/>
      <c r="C4" s="502"/>
      <c r="D4" s="502"/>
      <c r="E4" s="502"/>
      <c r="F4" s="502"/>
      <c r="G4" s="502"/>
      <c r="H4" s="502"/>
      <c r="I4" s="502"/>
      <c r="J4" s="502"/>
      <c r="K4" s="502"/>
      <c r="L4" s="502"/>
      <c r="M4" s="502"/>
      <c r="N4" s="502"/>
      <c r="O4" s="502"/>
      <c r="P4" s="187" t="s">
        <v>1</v>
      </c>
      <c r="Q4" s="1"/>
      <c r="R4" s="1"/>
      <c r="S4" s="1"/>
      <c r="T4" s="1"/>
      <c r="U4" s="1"/>
      <c r="V4" s="1"/>
    </row>
    <row r="5" spans="1:22" ht="16.5">
      <c r="A5" s="680" t="str">
        <f>+'B. Summary of Requirements '!A6</f>
        <v>Salaries and Expenses</v>
      </c>
      <c r="B5" s="500"/>
      <c r="C5" s="500"/>
      <c r="D5" s="500"/>
      <c r="E5" s="500"/>
      <c r="F5" s="500"/>
      <c r="G5" s="500"/>
      <c r="H5" s="500"/>
      <c r="I5" s="500"/>
      <c r="J5" s="500"/>
      <c r="K5" s="500"/>
      <c r="L5" s="500"/>
      <c r="M5" s="500"/>
      <c r="N5" s="500"/>
      <c r="O5" s="500"/>
      <c r="P5" s="187" t="s">
        <v>1</v>
      </c>
      <c r="Q5" s="1"/>
      <c r="R5" s="1"/>
      <c r="S5" s="1"/>
      <c r="T5" s="1"/>
      <c r="U5" s="1"/>
      <c r="V5" s="1"/>
    </row>
    <row r="6" spans="1:22">
      <c r="A6" s="685" t="s">
        <v>204</v>
      </c>
      <c r="B6" s="502"/>
      <c r="C6" s="502"/>
      <c r="D6" s="502"/>
      <c r="E6" s="502"/>
      <c r="F6" s="502"/>
      <c r="G6" s="502"/>
      <c r="H6" s="502"/>
      <c r="I6" s="502"/>
      <c r="J6" s="502"/>
      <c r="K6" s="502"/>
      <c r="L6" s="502"/>
      <c r="M6" s="502"/>
      <c r="N6" s="502"/>
      <c r="O6" s="502"/>
      <c r="P6" s="187" t="s">
        <v>1</v>
      </c>
      <c r="Q6" s="1"/>
      <c r="R6" s="1"/>
      <c r="S6" s="1"/>
      <c r="T6" s="1"/>
      <c r="U6" s="1"/>
      <c r="V6" s="1"/>
    </row>
    <row r="7" spans="1:22">
      <c r="A7" s="1"/>
      <c r="B7" s="1"/>
      <c r="C7" s="1"/>
      <c r="D7" s="1"/>
      <c r="E7" s="1"/>
      <c r="F7" s="1"/>
      <c r="G7" s="18"/>
      <c r="H7" s="18"/>
      <c r="I7" s="18"/>
      <c r="J7" s="1"/>
      <c r="K7" s="1"/>
      <c r="L7" s="1"/>
      <c r="M7" s="1"/>
      <c r="N7" s="1"/>
      <c r="O7" s="1"/>
      <c r="P7" s="187" t="s">
        <v>1</v>
      </c>
      <c r="Q7" s="1"/>
      <c r="R7" s="1"/>
      <c r="S7" s="1"/>
      <c r="T7" s="1"/>
      <c r="U7" s="1"/>
      <c r="V7" s="1"/>
    </row>
    <row r="8" spans="1:22">
      <c r="A8" s="718" t="s">
        <v>222</v>
      </c>
      <c r="B8" s="558"/>
      <c r="C8" s="559"/>
      <c r="D8" s="716" t="s">
        <v>115</v>
      </c>
      <c r="E8" s="606"/>
      <c r="F8" s="607"/>
      <c r="G8" s="716" t="s">
        <v>116</v>
      </c>
      <c r="H8" s="606"/>
      <c r="I8" s="607"/>
      <c r="J8" s="716" t="s">
        <v>160</v>
      </c>
      <c r="K8" s="606"/>
      <c r="L8" s="607"/>
      <c r="M8" s="716" t="s">
        <v>80</v>
      </c>
      <c r="N8" s="606"/>
      <c r="O8" s="607"/>
      <c r="P8" s="187" t="s">
        <v>1</v>
      </c>
      <c r="Q8" s="1"/>
      <c r="R8" s="1"/>
      <c r="S8" s="1"/>
      <c r="T8" s="1"/>
      <c r="U8" s="1"/>
      <c r="V8" s="1"/>
    </row>
    <row r="9" spans="1:22" ht="16.5" thickBot="1">
      <c r="A9" s="563"/>
      <c r="B9" s="564"/>
      <c r="C9" s="565"/>
      <c r="D9" s="83" t="s">
        <v>225</v>
      </c>
      <c r="E9" s="83" t="s">
        <v>85</v>
      </c>
      <c r="F9" s="83" t="s">
        <v>227</v>
      </c>
      <c r="G9" s="102" t="s">
        <v>225</v>
      </c>
      <c r="H9" s="83" t="s">
        <v>85</v>
      </c>
      <c r="I9" s="83" t="s">
        <v>227</v>
      </c>
      <c r="J9" s="102" t="s">
        <v>225</v>
      </c>
      <c r="K9" s="83" t="s">
        <v>85</v>
      </c>
      <c r="L9" s="83" t="s">
        <v>227</v>
      </c>
      <c r="M9" s="102" t="s">
        <v>225</v>
      </c>
      <c r="N9" s="83" t="s">
        <v>85</v>
      </c>
      <c r="O9" s="103" t="s">
        <v>227</v>
      </c>
      <c r="P9" s="187" t="s">
        <v>1</v>
      </c>
      <c r="Q9" s="1"/>
      <c r="R9" s="1"/>
      <c r="S9" s="1"/>
      <c r="T9" s="1"/>
      <c r="U9" s="1"/>
      <c r="V9" s="1"/>
    </row>
    <row r="10" spans="1:22">
      <c r="A10" s="86" t="s">
        <v>257</v>
      </c>
      <c r="B10" s="87"/>
      <c r="C10" s="88"/>
      <c r="D10" s="236">
        <v>54</v>
      </c>
      <c r="E10" s="236">
        <v>54</v>
      </c>
      <c r="F10" s="236">
        <v>11436</v>
      </c>
      <c r="G10" s="414">
        <v>54</v>
      </c>
      <c r="H10" s="403">
        <v>54</v>
      </c>
      <c r="I10" s="403">
        <v>11810</v>
      </c>
      <c r="J10" s="414">
        <f>54+7+4</f>
        <v>65</v>
      </c>
      <c r="K10" s="403">
        <f>54+4+2</f>
        <v>60</v>
      </c>
      <c r="L10" s="403">
        <f>11810+1514+662-125+503</f>
        <v>14364</v>
      </c>
      <c r="M10" s="235">
        <f t="shared" ref="M10:O13" si="0">J10-G10</f>
        <v>11</v>
      </c>
      <c r="N10" s="236">
        <f t="shared" si="0"/>
        <v>6</v>
      </c>
      <c r="O10" s="237">
        <f t="shared" si="0"/>
        <v>2554</v>
      </c>
      <c r="P10" s="187" t="s">
        <v>1</v>
      </c>
      <c r="Q10" s="1"/>
      <c r="R10" s="1"/>
      <c r="S10" s="1"/>
      <c r="T10" s="1"/>
      <c r="U10" s="1"/>
      <c r="V10" s="1"/>
    </row>
    <row r="11" spans="1:22">
      <c r="A11" s="86" t="s">
        <v>258</v>
      </c>
      <c r="B11" s="87"/>
      <c r="C11" s="88"/>
      <c r="D11" s="236">
        <v>1</v>
      </c>
      <c r="E11" s="236">
        <v>1</v>
      </c>
      <c r="F11" s="236">
        <v>225</v>
      </c>
      <c r="G11" s="414">
        <v>1</v>
      </c>
      <c r="H11" s="403">
        <v>1</v>
      </c>
      <c r="I11" s="403">
        <v>231</v>
      </c>
      <c r="J11" s="414">
        <v>1</v>
      </c>
      <c r="K11" s="403">
        <v>1</v>
      </c>
      <c r="L11" s="403">
        <v>231</v>
      </c>
      <c r="M11" s="235">
        <f t="shared" si="0"/>
        <v>0</v>
      </c>
      <c r="N11" s="236">
        <f t="shared" si="0"/>
        <v>0</v>
      </c>
      <c r="O11" s="237">
        <f t="shared" si="0"/>
        <v>0</v>
      </c>
      <c r="P11" s="187" t="s">
        <v>1</v>
      </c>
      <c r="Q11" s="1"/>
      <c r="R11" s="1"/>
      <c r="S11" s="1"/>
      <c r="T11" s="1"/>
      <c r="U11" s="1"/>
      <c r="V11" s="1"/>
    </row>
    <row r="12" spans="1:22">
      <c r="A12" s="86" t="s">
        <v>292</v>
      </c>
      <c r="B12" s="87"/>
      <c r="C12" s="88"/>
      <c r="D12" s="236">
        <v>0</v>
      </c>
      <c r="E12" s="236">
        <v>0</v>
      </c>
      <c r="F12" s="236">
        <v>0</v>
      </c>
      <c r="G12" s="414">
        <v>0</v>
      </c>
      <c r="H12" s="403">
        <v>0</v>
      </c>
      <c r="I12" s="403">
        <v>0</v>
      </c>
      <c r="J12" s="414">
        <v>6</v>
      </c>
      <c r="K12" s="403">
        <v>3</v>
      </c>
      <c r="L12" s="403">
        <v>836</v>
      </c>
      <c r="M12" s="235">
        <f>J12-G12</f>
        <v>6</v>
      </c>
      <c r="N12" s="236">
        <f>K12-H12</f>
        <v>3</v>
      </c>
      <c r="O12" s="237">
        <f>L12-I12</f>
        <v>836</v>
      </c>
      <c r="P12" s="187" t="s">
        <v>1</v>
      </c>
      <c r="Q12" s="1"/>
      <c r="R12" s="1"/>
      <c r="S12" s="1"/>
      <c r="T12" s="1"/>
      <c r="U12" s="1"/>
      <c r="V12" s="1"/>
    </row>
    <row r="13" spans="1:22">
      <c r="A13" s="85" t="s">
        <v>259</v>
      </c>
      <c r="B13" s="33"/>
      <c r="C13" s="75"/>
      <c r="D13" s="239"/>
      <c r="E13" s="239"/>
      <c r="F13" s="239">
        <v>53339</v>
      </c>
      <c r="G13" s="238"/>
      <c r="H13" s="239"/>
      <c r="I13" s="239">
        <f>47959+30000</f>
        <v>77959</v>
      </c>
      <c r="J13" s="238"/>
      <c r="K13" s="239"/>
      <c r="L13" s="239">
        <v>74569</v>
      </c>
      <c r="M13" s="238">
        <f t="shared" si="0"/>
        <v>0</v>
      </c>
      <c r="N13" s="239">
        <f t="shared" si="0"/>
        <v>0</v>
      </c>
      <c r="O13" s="240">
        <f t="shared" si="0"/>
        <v>-3390</v>
      </c>
      <c r="P13" s="187" t="s">
        <v>1</v>
      </c>
      <c r="Q13" s="21"/>
      <c r="R13" s="21"/>
      <c r="S13" s="1"/>
      <c r="T13" s="1"/>
      <c r="U13" s="1"/>
      <c r="V13" s="1"/>
    </row>
    <row r="14" spans="1:22">
      <c r="A14" s="80"/>
      <c r="B14" s="1"/>
      <c r="C14" s="74"/>
      <c r="D14" s="21"/>
      <c r="E14" s="21"/>
      <c r="F14" s="21"/>
      <c r="G14" s="81"/>
      <c r="H14" s="21"/>
      <c r="I14" s="21"/>
      <c r="J14" s="81"/>
      <c r="K14" s="21"/>
      <c r="L14" s="21"/>
      <c r="M14" s="81"/>
      <c r="N14" s="21"/>
      <c r="O14" s="76"/>
      <c r="P14" s="187" t="s">
        <v>1</v>
      </c>
      <c r="Q14" s="1"/>
      <c r="R14" s="1"/>
      <c r="S14" s="1"/>
      <c r="T14" s="1"/>
      <c r="U14" s="1"/>
      <c r="V14" s="1"/>
    </row>
    <row r="15" spans="1:22">
      <c r="A15" s="82"/>
      <c r="B15" s="77" t="s">
        <v>223</v>
      </c>
      <c r="C15" s="84"/>
      <c r="D15" s="242">
        <f>SUM(D10:D14)</f>
        <v>55</v>
      </c>
      <c r="E15" s="242">
        <f t="shared" ref="E15:O15" si="1">SUM(E10:E14)</f>
        <v>55</v>
      </c>
      <c r="F15" s="78">
        <f t="shared" si="1"/>
        <v>65000</v>
      </c>
      <c r="G15" s="241">
        <f t="shared" si="1"/>
        <v>55</v>
      </c>
      <c r="H15" s="242">
        <f t="shared" si="1"/>
        <v>55</v>
      </c>
      <c r="I15" s="78">
        <f>SUM(I10:I14)</f>
        <v>90000</v>
      </c>
      <c r="J15" s="241">
        <f t="shared" si="1"/>
        <v>72</v>
      </c>
      <c r="K15" s="242">
        <f t="shared" si="1"/>
        <v>64</v>
      </c>
      <c r="L15" s="78">
        <f t="shared" si="1"/>
        <v>90000</v>
      </c>
      <c r="M15" s="241">
        <f t="shared" si="1"/>
        <v>17</v>
      </c>
      <c r="N15" s="242">
        <f t="shared" si="1"/>
        <v>9</v>
      </c>
      <c r="O15" s="79">
        <f t="shared" si="1"/>
        <v>0</v>
      </c>
      <c r="P15" s="187" t="s">
        <v>1</v>
      </c>
      <c r="Q15" s="1"/>
      <c r="R15" s="1"/>
      <c r="S15" s="1"/>
      <c r="T15" s="1"/>
      <c r="U15" s="1"/>
      <c r="V15" s="1"/>
    </row>
    <row r="16" spans="1:22">
      <c r="A16" s="1"/>
      <c r="B16" s="1"/>
      <c r="C16" s="1"/>
      <c r="D16" s="1"/>
      <c r="E16" s="1"/>
      <c r="F16" s="1"/>
      <c r="G16" s="1"/>
      <c r="H16" s="1"/>
      <c r="I16" s="1"/>
      <c r="J16" s="1"/>
      <c r="K16" s="1"/>
      <c r="L16" s="1"/>
      <c r="M16" s="1"/>
      <c r="N16" s="1"/>
      <c r="O16" s="1"/>
      <c r="P16" s="187" t="s">
        <v>41</v>
      </c>
      <c r="Q16" s="1"/>
      <c r="R16" s="1"/>
      <c r="S16" s="1"/>
      <c r="T16" s="1"/>
      <c r="U16" s="1"/>
      <c r="V16" s="1"/>
    </row>
    <row r="17" spans="1:33">
      <c r="A17" s="678"/>
      <c r="B17" s="717"/>
      <c r="C17" s="717"/>
      <c r="D17" s="717"/>
      <c r="E17" s="717"/>
      <c r="F17" s="717"/>
      <c r="G17" s="717"/>
      <c r="H17" s="717"/>
      <c r="I17" s="717"/>
      <c r="J17" s="717"/>
      <c r="K17" s="717"/>
      <c r="L17" s="717"/>
      <c r="M17" s="717"/>
      <c r="N17" s="717"/>
      <c r="O17" s="717"/>
      <c r="P17" s="187"/>
      <c r="Q17" s="41"/>
      <c r="R17" s="41"/>
      <c r="S17" s="41"/>
      <c r="T17" s="41"/>
      <c r="U17" s="41"/>
      <c r="V17" s="41"/>
      <c r="W17" s="41"/>
      <c r="X17" s="41"/>
      <c r="Y17" s="41"/>
      <c r="Z17" s="41"/>
      <c r="AA17" s="41"/>
      <c r="AB17" s="41"/>
      <c r="AC17" s="41"/>
      <c r="AD17" s="41"/>
      <c r="AE17" s="41"/>
      <c r="AF17" s="41"/>
      <c r="AG17" s="41"/>
    </row>
    <row r="18" spans="1:33">
      <c r="A18" s="1"/>
      <c r="B18" s="1"/>
      <c r="C18" s="2"/>
      <c r="D18" s="2"/>
      <c r="E18" s="2"/>
      <c r="F18" s="2"/>
      <c r="G18" s="2"/>
      <c r="H18" s="2"/>
      <c r="I18" s="2"/>
      <c r="J18" s="2"/>
      <c r="K18" s="2"/>
      <c r="L18" s="2"/>
      <c r="M18" s="2"/>
      <c r="N18" s="2"/>
      <c r="O18" s="2"/>
      <c r="Q18" s="41"/>
      <c r="R18" s="41"/>
      <c r="S18" s="41"/>
      <c r="T18" s="41"/>
      <c r="U18" s="41"/>
      <c r="V18" s="41"/>
      <c r="W18" s="41"/>
      <c r="X18" s="41"/>
      <c r="Y18" s="41"/>
      <c r="Z18" s="41"/>
      <c r="AA18" s="41"/>
      <c r="AB18" s="41"/>
      <c r="AC18" s="41"/>
      <c r="AD18" s="41"/>
      <c r="AE18" s="41"/>
      <c r="AF18" s="41"/>
      <c r="AG18" s="41"/>
    </row>
  </sheetData>
  <mergeCells count="11">
    <mergeCell ref="A1:O1"/>
    <mergeCell ref="A3:O3"/>
    <mergeCell ref="A4:O4"/>
    <mergeCell ref="A5:O5"/>
    <mergeCell ref="G8:I8"/>
    <mergeCell ref="D8:F8"/>
    <mergeCell ref="A6:O6"/>
    <mergeCell ref="A17:O17"/>
    <mergeCell ref="A8:C9"/>
    <mergeCell ref="M8:O8"/>
    <mergeCell ref="J8:L8"/>
  </mergeCells>
  <phoneticPr fontId="0" type="noConversion"/>
  <printOptions horizontalCentered="1"/>
  <pageMargins left="1" right="1" top="0.5" bottom="0.55000000000000004" header="0" footer="0"/>
  <pageSetup scale="71"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N23"/>
  <sheetViews>
    <sheetView view="pageBreakPreview" zoomScale="75" zoomScaleNormal="100" workbookViewId="0">
      <selection activeCell="A9" sqref="A9:B11"/>
    </sheetView>
  </sheetViews>
  <sheetFormatPr defaultRowHeight="15"/>
  <cols>
    <col min="1" max="1" width="21.6640625" style="23" customWidth="1"/>
    <col min="2" max="2" width="6" style="23" customWidth="1"/>
    <col min="3" max="3" width="10.77734375" style="23" customWidth="1"/>
    <col min="4" max="4" width="12.6640625" style="23" customWidth="1"/>
    <col min="5" max="5" width="10.88671875" style="23" customWidth="1"/>
    <col min="6" max="6" width="12.5546875" style="23" customWidth="1"/>
    <col min="7" max="7" width="9.77734375" style="23" customWidth="1"/>
    <col min="8" max="8" width="12" style="23" customWidth="1"/>
    <col min="9" max="9" width="9.77734375" style="23" hidden="1" customWidth="1"/>
    <col min="10" max="11" width="9.77734375" style="23" customWidth="1"/>
    <col min="12" max="12" width="10.33203125" style="23" customWidth="1"/>
    <col min="13" max="13" width="13" style="23" customWidth="1"/>
    <col min="14" max="14" width="1.109375" style="193" customWidth="1"/>
    <col min="15" max="16384" width="8.88671875" style="23"/>
  </cols>
  <sheetData>
    <row r="1" spans="1:14" ht="20.25">
      <c r="A1" s="495" t="s">
        <v>48</v>
      </c>
      <c r="B1" s="561"/>
      <c r="C1" s="561"/>
      <c r="D1" s="561"/>
      <c r="E1" s="561"/>
      <c r="F1" s="561"/>
      <c r="G1" s="561"/>
      <c r="H1" s="561"/>
      <c r="I1" s="561"/>
      <c r="J1" s="561"/>
      <c r="K1" s="561"/>
      <c r="L1" s="561"/>
      <c r="M1" s="561"/>
      <c r="N1" s="193" t="s">
        <v>1</v>
      </c>
    </row>
    <row r="2" spans="1:14" ht="20.25">
      <c r="A2" s="39"/>
      <c r="N2" s="193" t="s">
        <v>1</v>
      </c>
    </row>
    <row r="3" spans="1:14" ht="12.6" customHeight="1">
      <c r="A3" s="39"/>
      <c r="N3" s="193" t="s">
        <v>1</v>
      </c>
    </row>
    <row r="4" spans="1:14" ht="18.75">
      <c r="A4" s="679" t="s">
        <v>87</v>
      </c>
      <c r="B4" s="502"/>
      <c r="C4" s="502"/>
      <c r="D4" s="502"/>
      <c r="E4" s="502"/>
      <c r="F4" s="502"/>
      <c r="G4" s="502"/>
      <c r="H4" s="502"/>
      <c r="I4" s="502"/>
      <c r="J4" s="502"/>
      <c r="K4" s="502"/>
      <c r="L4" s="502"/>
      <c r="M4" s="502"/>
      <c r="N4" s="193" t="s">
        <v>1</v>
      </c>
    </row>
    <row r="5" spans="1:14" ht="16.5">
      <c r="A5" s="680" t="str">
        <f>+'B. Summary of Requirements '!A5</f>
        <v>Bureau of Alcohol, Tobacco, Firearms and Explosives</v>
      </c>
      <c r="B5" s="502"/>
      <c r="C5" s="502"/>
      <c r="D5" s="502"/>
      <c r="E5" s="502"/>
      <c r="F5" s="502"/>
      <c r="G5" s="502"/>
      <c r="H5" s="502"/>
      <c r="I5" s="502"/>
      <c r="J5" s="502"/>
      <c r="K5" s="502"/>
      <c r="L5" s="502"/>
      <c r="M5" s="502"/>
      <c r="N5" s="193" t="s">
        <v>1</v>
      </c>
    </row>
    <row r="6" spans="1:14" ht="16.5">
      <c r="A6" s="745" t="str">
        <f>+'B. Summary of Requirements '!A6</f>
        <v>Salaries and Expenses</v>
      </c>
      <c r="B6" s="502"/>
      <c r="C6" s="502"/>
      <c r="D6" s="502"/>
      <c r="E6" s="502"/>
      <c r="F6" s="502"/>
      <c r="G6" s="502"/>
      <c r="H6" s="502"/>
      <c r="I6" s="502"/>
      <c r="J6" s="502"/>
      <c r="K6" s="502"/>
      <c r="L6" s="502"/>
      <c r="M6" s="502"/>
      <c r="N6" s="193" t="s">
        <v>1</v>
      </c>
    </row>
    <row r="7" spans="1:14">
      <c r="N7" s="193" t="s">
        <v>1</v>
      </c>
    </row>
    <row r="8" spans="1:14">
      <c r="A8" s="24"/>
      <c r="B8" s="24"/>
      <c r="C8" s="24"/>
      <c r="D8" s="24"/>
      <c r="E8" s="24"/>
      <c r="F8" s="24"/>
      <c r="G8" s="24"/>
      <c r="H8" s="24"/>
      <c r="I8" s="24"/>
      <c r="J8" s="24"/>
      <c r="K8" s="24"/>
      <c r="L8" s="24"/>
      <c r="M8" s="24"/>
      <c r="N8" s="193" t="s">
        <v>1</v>
      </c>
    </row>
    <row r="9" spans="1:14" ht="40.5" customHeight="1">
      <c r="A9" s="735" t="s">
        <v>88</v>
      </c>
      <c r="B9" s="736"/>
      <c r="C9" s="741" t="s">
        <v>167</v>
      </c>
      <c r="D9" s="742"/>
      <c r="E9" s="741" t="s">
        <v>156</v>
      </c>
      <c r="F9" s="742"/>
      <c r="G9" s="728" t="s">
        <v>160</v>
      </c>
      <c r="H9" s="729"/>
      <c r="I9" s="729"/>
      <c r="J9" s="729"/>
      <c r="K9" s="729"/>
      <c r="L9" s="729"/>
      <c r="M9" s="730"/>
      <c r="N9" s="194" t="s">
        <v>1</v>
      </c>
    </row>
    <row r="10" spans="1:14">
      <c r="A10" s="737"/>
      <c r="B10" s="738"/>
      <c r="C10" s="743" t="s">
        <v>44</v>
      </c>
      <c r="D10" s="733" t="s">
        <v>45</v>
      </c>
      <c r="E10" s="743" t="s">
        <v>44</v>
      </c>
      <c r="F10" s="733" t="s">
        <v>45</v>
      </c>
      <c r="G10" s="318"/>
      <c r="H10" s="731" t="s">
        <v>178</v>
      </c>
      <c r="I10" s="66" t="s">
        <v>89</v>
      </c>
      <c r="J10" s="731" t="s">
        <v>42</v>
      </c>
      <c r="K10" s="731" t="s">
        <v>43</v>
      </c>
      <c r="L10" s="748" t="s">
        <v>44</v>
      </c>
      <c r="M10" s="746" t="s">
        <v>45</v>
      </c>
      <c r="N10" s="193" t="s">
        <v>1</v>
      </c>
    </row>
    <row r="11" spans="1:14" ht="27" customHeight="1">
      <c r="A11" s="739"/>
      <c r="B11" s="740"/>
      <c r="C11" s="744"/>
      <c r="D11" s="734"/>
      <c r="E11" s="744"/>
      <c r="F11" s="734"/>
      <c r="G11" s="317" t="s">
        <v>32</v>
      </c>
      <c r="H11" s="732"/>
      <c r="I11" s="67" t="s">
        <v>231</v>
      </c>
      <c r="J11" s="732"/>
      <c r="K11" s="732"/>
      <c r="L11" s="749"/>
      <c r="M11" s="747"/>
      <c r="N11" s="193" t="s">
        <v>1</v>
      </c>
    </row>
    <row r="12" spans="1:14" s="389" customFormat="1">
      <c r="A12" s="725" t="s">
        <v>54</v>
      </c>
      <c r="B12" s="726"/>
      <c r="C12" s="464"/>
      <c r="D12" s="472"/>
      <c r="E12" s="472"/>
      <c r="F12" s="472"/>
      <c r="G12" s="473">
        <f>130+50</f>
        <v>180</v>
      </c>
      <c r="H12" s="472">
        <f>3+2</f>
        <v>5</v>
      </c>
      <c r="I12" s="472"/>
      <c r="J12" s="472"/>
      <c r="K12" s="472">
        <f>H12+J12</f>
        <v>5</v>
      </c>
      <c r="L12" s="472">
        <f>E12+G12+K12</f>
        <v>185</v>
      </c>
      <c r="M12" s="467">
        <f>F12+2+1+3</f>
        <v>6</v>
      </c>
      <c r="N12" s="388" t="s">
        <v>1</v>
      </c>
    </row>
    <row r="13" spans="1:14" s="389" customFormat="1">
      <c r="A13" s="725" t="s">
        <v>55</v>
      </c>
      <c r="B13" s="726"/>
      <c r="C13" s="465">
        <v>2450</v>
      </c>
      <c r="D13" s="472">
        <v>54</v>
      </c>
      <c r="E13" s="472">
        <f>C13+34+1</f>
        <v>2485</v>
      </c>
      <c r="F13" s="472">
        <v>54</v>
      </c>
      <c r="G13" s="472"/>
      <c r="H13" s="472">
        <f>25+3</f>
        <v>28</v>
      </c>
      <c r="I13" s="472"/>
      <c r="J13" s="472"/>
      <c r="K13" s="472">
        <f>H13+J13</f>
        <v>28</v>
      </c>
      <c r="L13" s="472">
        <f>E13+G13+K13</f>
        <v>2513</v>
      </c>
      <c r="M13" s="467">
        <f>F13+5+2+2</f>
        <v>63</v>
      </c>
      <c r="N13" s="388" t="s">
        <v>1</v>
      </c>
    </row>
    <row r="14" spans="1:14">
      <c r="A14" s="727" t="s">
        <v>293</v>
      </c>
      <c r="B14" s="516"/>
      <c r="C14" s="466">
        <v>789</v>
      </c>
      <c r="D14" s="474"/>
      <c r="E14" s="474">
        <f>C14+45</f>
        <v>834</v>
      </c>
      <c r="F14" s="474"/>
      <c r="G14" s="474"/>
      <c r="H14" s="474">
        <f>6</f>
        <v>6</v>
      </c>
      <c r="I14" s="474"/>
      <c r="J14" s="474"/>
      <c r="K14" s="474">
        <f>H14+J14</f>
        <v>6</v>
      </c>
      <c r="L14" s="474">
        <f>E14+G14+K14</f>
        <v>840</v>
      </c>
      <c r="M14" s="467">
        <f>F14+1</f>
        <v>1</v>
      </c>
      <c r="N14" s="193" t="s">
        <v>1</v>
      </c>
    </row>
    <row r="15" spans="1:14">
      <c r="A15" s="727" t="s">
        <v>259</v>
      </c>
      <c r="B15" s="516"/>
      <c r="C15" s="466">
        <v>1769</v>
      </c>
      <c r="D15" s="475">
        <v>1</v>
      </c>
      <c r="E15" s="475">
        <f>C15+13</f>
        <v>1782</v>
      </c>
      <c r="F15" s="475">
        <v>1</v>
      </c>
      <c r="G15" s="476">
        <f>-130-50</f>
        <v>-180</v>
      </c>
      <c r="H15" s="475">
        <f>3+2</f>
        <v>5</v>
      </c>
      <c r="I15" s="475"/>
      <c r="J15" s="475"/>
      <c r="K15" s="475">
        <f>H15+J15</f>
        <v>5</v>
      </c>
      <c r="L15" s="475">
        <f>E15+G15+K15</f>
        <v>1607</v>
      </c>
      <c r="M15" s="468">
        <f>F15+1</f>
        <v>2</v>
      </c>
      <c r="N15" s="193" t="s">
        <v>1</v>
      </c>
    </row>
    <row r="16" spans="1:14" ht="15.75" thickBot="1">
      <c r="A16" s="723" t="s">
        <v>82</v>
      </c>
      <c r="B16" s="724"/>
      <c r="C16" s="433">
        <f t="shared" ref="C16:H16" si="0">SUM(C12:C15)</f>
        <v>5008</v>
      </c>
      <c r="D16" s="469">
        <f t="shared" si="0"/>
        <v>55</v>
      </c>
      <c r="E16" s="470">
        <f t="shared" si="0"/>
        <v>5101</v>
      </c>
      <c r="F16" s="469">
        <f t="shared" si="0"/>
        <v>55</v>
      </c>
      <c r="G16" s="470">
        <f t="shared" si="0"/>
        <v>0</v>
      </c>
      <c r="H16" s="469">
        <f t="shared" si="0"/>
        <v>44</v>
      </c>
      <c r="I16" s="469">
        <f>SUM(I15:I15)</f>
        <v>0</v>
      </c>
      <c r="J16" s="469">
        <f>SUM(J12:J15)</f>
        <v>0</v>
      </c>
      <c r="K16" s="469">
        <f>SUM(K12:K15)</f>
        <v>44</v>
      </c>
      <c r="L16" s="471">
        <f>SUM(L12:L15)</f>
        <v>5145</v>
      </c>
      <c r="M16" s="434">
        <f>SUM(M12:M15)</f>
        <v>72</v>
      </c>
      <c r="N16" s="193" t="s">
        <v>1</v>
      </c>
    </row>
    <row r="17" spans="1:14">
      <c r="A17" s="721" t="s">
        <v>215</v>
      </c>
      <c r="B17" s="722"/>
      <c r="C17" s="435">
        <f>($C$16-$C$19)*(838/5054)</f>
        <v>827.22239810051451</v>
      </c>
      <c r="D17" s="436">
        <v>1</v>
      </c>
      <c r="E17" s="437">
        <v>827</v>
      </c>
      <c r="F17" s="436">
        <v>1</v>
      </c>
      <c r="G17" s="437"/>
      <c r="H17" s="436">
        <v>7</v>
      </c>
      <c r="I17" s="436"/>
      <c r="J17" s="436"/>
      <c r="K17" s="438">
        <f>H17+J17</f>
        <v>7</v>
      </c>
      <c r="L17" s="439">
        <f>E17+G17+K17</f>
        <v>834</v>
      </c>
      <c r="M17" s="440">
        <f>F17</f>
        <v>1</v>
      </c>
      <c r="N17" s="193" t="s">
        <v>1</v>
      </c>
    </row>
    <row r="18" spans="1:14">
      <c r="A18" s="754" t="s">
        <v>229</v>
      </c>
      <c r="B18" s="655"/>
      <c r="C18" s="435">
        <f>(C16-C19)*(4216/5054)</f>
        <v>4161.7776018994855</v>
      </c>
      <c r="D18" s="436">
        <v>54</v>
      </c>
      <c r="E18" s="441">
        <f>C18+85</f>
        <v>4246.7776018994855</v>
      </c>
      <c r="F18" s="436">
        <v>54</v>
      </c>
      <c r="G18" s="437"/>
      <c r="H18" s="436">
        <v>33</v>
      </c>
      <c r="I18" s="436"/>
      <c r="J18" s="436"/>
      <c r="K18" s="438">
        <f>H18+J18</f>
        <v>33</v>
      </c>
      <c r="L18" s="439">
        <f>E18+G18+K18</f>
        <v>4279.7776018994855</v>
      </c>
      <c r="M18" s="440">
        <f>F18+17</f>
        <v>71</v>
      </c>
      <c r="N18" s="193" t="s">
        <v>1</v>
      </c>
    </row>
    <row r="19" spans="1:14">
      <c r="A19" s="752" t="s">
        <v>230</v>
      </c>
      <c r="B19" s="753"/>
      <c r="C19" s="436">
        <f>18+1</f>
        <v>19</v>
      </c>
      <c r="D19" s="436"/>
      <c r="E19" s="441">
        <f>26+1</f>
        <v>27</v>
      </c>
      <c r="F19" s="436"/>
      <c r="G19" s="437"/>
      <c r="H19" s="436">
        <v>4</v>
      </c>
      <c r="I19" s="436"/>
      <c r="J19" s="436"/>
      <c r="K19" s="438">
        <f>H19+J19</f>
        <v>4</v>
      </c>
      <c r="L19" s="439">
        <f>E19+G19+K19</f>
        <v>31</v>
      </c>
      <c r="M19" s="440"/>
      <c r="N19" s="193" t="s">
        <v>1</v>
      </c>
    </row>
    <row r="20" spans="1:14" s="25" customFormat="1">
      <c r="A20" s="750" t="s">
        <v>82</v>
      </c>
      <c r="B20" s="751"/>
      <c r="C20" s="442">
        <f>SUM(C17:C19)</f>
        <v>5008</v>
      </c>
      <c r="D20" s="442">
        <f t="shared" ref="D20:L20" si="1">SUM(D17:D19)</f>
        <v>55</v>
      </c>
      <c r="E20" s="442">
        <f t="shared" si="1"/>
        <v>5100.7776018994855</v>
      </c>
      <c r="F20" s="442">
        <f t="shared" si="1"/>
        <v>55</v>
      </c>
      <c r="G20" s="442">
        <f t="shared" si="1"/>
        <v>0</v>
      </c>
      <c r="H20" s="442">
        <f t="shared" si="1"/>
        <v>44</v>
      </c>
      <c r="I20" s="442">
        <f t="shared" si="1"/>
        <v>0</v>
      </c>
      <c r="J20" s="442">
        <f t="shared" si="1"/>
        <v>0</v>
      </c>
      <c r="K20" s="442">
        <f>SUM(K17:K19)</f>
        <v>44</v>
      </c>
      <c r="L20" s="443">
        <f t="shared" si="1"/>
        <v>5144.7776018994855</v>
      </c>
      <c r="M20" s="444">
        <f>SUM(M17:M19)</f>
        <v>72</v>
      </c>
      <c r="N20" s="193" t="s">
        <v>41</v>
      </c>
    </row>
    <row r="21" spans="1:14" s="25" customFormat="1">
      <c r="A21" s="720"/>
      <c r="B21" s="720"/>
      <c r="C21" s="720"/>
      <c r="D21" s="720"/>
      <c r="E21" s="720"/>
      <c r="F21" s="720"/>
      <c r="G21" s="720"/>
      <c r="H21" s="720"/>
      <c r="I21" s="720"/>
      <c r="J21" s="720"/>
      <c r="K21" s="720"/>
      <c r="L21" s="720"/>
      <c r="M21" s="720"/>
      <c r="N21" s="193"/>
    </row>
    <row r="22" spans="1:14" s="25" customFormat="1">
      <c r="N22" s="194"/>
    </row>
    <row r="23" spans="1:14">
      <c r="M23" s="178"/>
    </row>
  </sheetData>
  <mergeCells count="27">
    <mergeCell ref="A1:M1"/>
    <mergeCell ref="A4:M4"/>
    <mergeCell ref="A5:M5"/>
    <mergeCell ref="A6:M6"/>
    <mergeCell ref="C10:C11"/>
    <mergeCell ref="M10:M11"/>
    <mergeCell ref="L10:L11"/>
    <mergeCell ref="G9:M9"/>
    <mergeCell ref="K10:K11"/>
    <mergeCell ref="F10:F11"/>
    <mergeCell ref="A9:B11"/>
    <mergeCell ref="E9:F9"/>
    <mergeCell ref="C9:D9"/>
    <mergeCell ref="J10:J11"/>
    <mergeCell ref="D10:D11"/>
    <mergeCell ref="E10:E11"/>
    <mergeCell ref="H10:H11"/>
    <mergeCell ref="A21:M21"/>
    <mergeCell ref="A17:B17"/>
    <mergeCell ref="A16:B16"/>
    <mergeCell ref="A12:B12"/>
    <mergeCell ref="A15:B15"/>
    <mergeCell ref="A14:B14"/>
    <mergeCell ref="A20:B20"/>
    <mergeCell ref="A19:B19"/>
    <mergeCell ref="A18:B18"/>
    <mergeCell ref="A13:B13"/>
  </mergeCells>
  <phoneticPr fontId="0" type="noConversion"/>
  <printOptions horizontalCentered="1"/>
  <pageMargins left="0.75" right="0.75" top="1" bottom="1" header="0.5" footer="0.5"/>
  <pageSetup scale="72"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 Organization Chart</vt:lpstr>
      <vt:lpstr>B. Summary of Requirements </vt:lpstr>
      <vt:lpstr>C. Increases Offsets</vt:lpstr>
      <vt:lpstr>D. Strategic Goals &amp; Objectives</vt:lpstr>
      <vt:lpstr>E. ATB Justification</vt:lpstr>
      <vt:lpstr>F. 2009 Crosswalk</vt:lpstr>
      <vt:lpstr>G. 2010 Crosswalk</vt:lpstr>
      <vt:lpstr>H. Reimbursable Resources</vt:lpstr>
      <vt:lpstr>I. Permanent Positions</vt:lpstr>
      <vt:lpstr>J. Financial Analysis</vt:lpstr>
      <vt:lpstr>K. Summary by Grade</vt:lpstr>
      <vt:lpstr>L. Summary by Object Class</vt:lpstr>
      <vt:lpstr>M. Studies</vt:lpstr>
      <vt:lpstr>'B. Summary of Requirements '!DL</vt:lpstr>
      <vt:lpstr>'A. Organization Chart'!Print_Area</vt:lpstr>
      <vt:lpstr>'B. Summary of Requirements '!Print_Area</vt:lpstr>
      <vt:lpstr>'C. Increases Offsets'!Print_Area</vt:lpstr>
      <vt:lpstr>'D. Strategic Goals &amp; Objectives'!Print_Area</vt:lpstr>
      <vt:lpstr>'E. ATB Justification'!Print_Area</vt:lpstr>
      <vt:lpstr>'F. 2009 Crosswalk'!Print_Area</vt:lpstr>
      <vt:lpstr>'G. 2010 Crosswalk'!Print_Area</vt:lpstr>
      <vt:lpstr>'H. Reimbursable Resources'!Print_Area</vt:lpstr>
      <vt:lpstr>'I. Permanent Positions'!Print_Area</vt:lpstr>
      <vt:lpstr>'J. Financial Analysis'!Print_Area</vt:lpstr>
      <vt:lpstr>'K. Summary by Grade'!Print_Area</vt:lpstr>
      <vt:lpstr>'L. Summary by Object Class'!Print_Area</vt:lpstr>
      <vt:lpstr>'M. Studies'!Print_Area</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sdale</dc:creator>
  <cp:keywords/>
  <dc:description/>
  <cp:lastModifiedBy>ATF</cp:lastModifiedBy>
  <cp:lastPrinted>2010-01-22T13:17:00Z</cp:lastPrinted>
  <dcterms:created xsi:type="dcterms:W3CDTF">2003-08-28T20:51:00Z</dcterms:created>
  <dcterms:modified xsi:type="dcterms:W3CDTF">2013-08-21T18:54:30Z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